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showInkAnnotation="0" codeName="ThisWorkbook"/>
  <mc:AlternateContent xmlns:mc="http://schemas.openxmlformats.org/markup-compatibility/2006">
    <mc:Choice Requires="x15">
      <x15ac:absPath xmlns:x15ac="http://schemas.microsoft.com/office/spreadsheetml/2010/11/ac" url="G:\NEF-Shared-LO\EST\Energy Storage\14 - Supply chain\Country Ranking\2023\Data Model\"/>
    </mc:Choice>
  </mc:AlternateContent>
  <xr:revisionPtr revIDLastSave="0" documentId="13_ncr:1_{33761144-2E28-4C8A-907F-5B9F93D1531C}" xr6:coauthVersionLast="47" xr6:coauthVersionMax="47" xr10:uidLastSave="{00000000-0000-0000-0000-000000000000}"/>
  <bookViews>
    <workbookView xWindow="39075" yWindow="2730" windowWidth="24450" windowHeight="15435" tabRatio="883" xr2:uid="{00000000-000D-0000-FFFF-FFFF00000000}"/>
  </bookViews>
  <sheets>
    <sheet name="COVER" sheetId="9" r:id="rId1"/>
    <sheet name="Ranking - OLD" sheetId="27" state="veryHidden" r:id="rId2"/>
    <sheet name="Model - OLD" sheetId="29" state="veryHidden" r:id="rId3"/>
    <sheet name="Data Sources - OLD" sheetId="25" state="veryHidden" r:id="rId4"/>
    <sheet name="Metrics" sheetId="46" r:id="rId5"/>
    <sheet name="Weighting" sheetId="45" r:id="rId6"/>
    <sheet name="Sources" sheetId="47" r:id="rId7"/>
    <sheet name="UsageTracker" sheetId="31" state="veryHidden" r:id="rId8"/>
    <sheet name="RawData" sheetId="44" state="veryHidden" r:id="rId9"/>
    <sheet name="Dict" sheetId="30" state="veryHidden" r:id="rId10"/>
    <sheet name="Dummy sheet" sheetId="24" state="veryHidden" r:id="rId11"/>
    <sheet name="OVERALL" sheetId="38" state="veryHidden" r:id="rId12"/>
    <sheet name="RawMaterials" sheetId="39" state="veryHidden" r:id="rId13"/>
    <sheet name="BatteryManufacturing" sheetId="40" state="veryHidden" r:id="rId14"/>
    <sheet name="DownstreamDemand" sheetId="41" state="veryHidden" r:id="rId15"/>
    <sheet name="ESG" sheetId="42" state="veryHidden" r:id="rId16"/>
    <sheet name="III" sheetId="43" state="veryHidden" r:id="rId17"/>
  </sheets>
  <functionGroups builtInGroupCount="19"/>
  <definedNames>
    <definedName name="_xlnm._FilterDatabase" localSheetId="10" hidden="1">'Dummy sheet'!$J$22:$L$47</definedName>
    <definedName name="bad_connection_attempts_count">UsageTracker!$C$8</definedName>
    <definedName name="bnef_activity_log_count">UsageTracker!$D$9</definedName>
    <definedName name="bnef_activity_log_start">UsageTracker!$B$10</definedName>
    <definedName name="Country_Count">Dict!$A$8</definedName>
    <definedName name="data_sheet">Dict!$G$12</definedName>
    <definedName name="dbl_FirstData">'Ranking - OLD'!$D$108</definedName>
    <definedName name="dbl_ScoreTotalWeight">'Ranking - OLD'!$G$39</definedName>
    <definedName name="dynamicRange_Countries">INDIRECT(Dict!$A$9)</definedName>
    <definedName name="int_Countries">26</definedName>
    <definedName name="int_CountriesRanked">Dict!$G$18</definedName>
    <definedName name="int_Country_Offset">'Ranking - OLD'!$U$4</definedName>
    <definedName name="int_DisplayYear_DB">'Ranking - OLD'!$C$5</definedName>
    <definedName name="int_Indicator_Column">Dict!$G$13</definedName>
    <definedName name="int_Ranking_Column">Dict!$G$15</definedName>
    <definedName name="int_RankofCountry">Dict!$G$18</definedName>
    <definedName name="int_Year_Column_Offset">Dict!$G$14</definedName>
    <definedName name="int_Year_Offset">'Ranking - OLD'!$U$5</definedName>
    <definedName name="last_server_connect_attempt">UsageTracker!$C$7</definedName>
    <definedName name="last_server_response">UsageTracker!$C$6</definedName>
    <definedName name="rng_COVER_ContentsList">COVER!$C$19:$E$19</definedName>
    <definedName name="rng_Cover_Copyright">COVER!$C$27</definedName>
    <definedName name="str_Country">'Ranking - OLD'!$C$4</definedName>
    <definedName name="str_HeaderGlobalRank">'Ranking - OLD'!$B$106</definedName>
    <definedName name="str_Indicator">Dict!$G$10</definedName>
    <definedName name="str_Indicator_Unit">Dict!$G$17</definedName>
    <definedName name="str_insightID" localSheetId="7">UsageTracker!$C$4</definedName>
    <definedName name="str_modelVersion" localSheetId="7">UsageTracker!$C$5</definedName>
    <definedName name="str_RankColumn">'Ranking - OLD'!$B$42</definedName>
    <definedName name="str_Ranking_Order">Dict!$G$16</definedName>
    <definedName name="str_SortOrder">'Ranking - OLD'!$E$107</definedName>
    <definedName name="str_SubIndicator">Dict!$G$11</definedName>
    <definedName name="tbl_Comparedata_Formula">'Model - OLD'!$C$73:$D$102</definedName>
    <definedName name="tbl_Comparedata_Hardcode">'Ranking - OLD'!$C$108:$D$137</definedName>
    <definedName name="tbl_Table">'Model - OLD'!$C$12:$EQ$37</definedName>
    <definedName name="tbl_Table.Columns">'Model - OLD'!$C$11:$EQ$11</definedName>
    <definedName name="tbl_Table.Rows">'Model - OLD'!$B$12:$B$37</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42" i="39" l="1"/>
  <c r="AT41" i="39"/>
  <c r="AT40" i="39"/>
  <c r="AT39" i="39"/>
  <c r="AT38" i="39"/>
  <c r="AT37" i="39"/>
  <c r="AT36" i="39"/>
  <c r="AT35" i="39"/>
  <c r="AT34" i="39"/>
  <c r="AT33" i="39"/>
  <c r="AT32" i="39"/>
  <c r="AT31" i="39"/>
  <c r="AT30" i="39"/>
  <c r="AT29" i="39"/>
  <c r="AT28" i="39"/>
  <c r="AT27" i="39"/>
  <c r="AT26" i="39"/>
  <c r="AT25" i="39"/>
  <c r="AT24" i="39"/>
  <c r="AT23" i="39"/>
  <c r="AT22" i="39"/>
  <c r="AT21" i="39"/>
  <c r="AT20" i="39"/>
  <c r="AT19" i="39"/>
  <c r="AT18" i="39"/>
  <c r="AT17" i="39"/>
  <c r="AT16" i="39"/>
  <c r="AT15" i="39"/>
  <c r="AT14" i="39"/>
  <c r="AT13" i="39"/>
  <c r="AR42" i="39"/>
  <c r="AR41" i="39"/>
  <c r="AR40" i="39"/>
  <c r="AR39" i="39"/>
  <c r="AR38" i="39"/>
  <c r="AR37" i="39"/>
  <c r="AR36" i="39"/>
  <c r="AR35" i="39"/>
  <c r="AR34" i="39"/>
  <c r="AR33" i="39"/>
  <c r="AR32" i="39"/>
  <c r="AR31" i="39"/>
  <c r="AR30" i="39"/>
  <c r="AR29" i="39"/>
  <c r="AR28" i="39"/>
  <c r="AR27" i="39"/>
  <c r="AR26" i="39"/>
  <c r="AR25" i="39"/>
  <c r="AR24" i="39"/>
  <c r="AR23" i="39"/>
  <c r="AR22" i="39"/>
  <c r="AR21" i="39"/>
  <c r="AR20" i="39"/>
  <c r="AR19" i="39"/>
  <c r="AR18" i="39"/>
  <c r="AR17" i="39"/>
  <c r="AR16" i="39"/>
  <c r="AR15" i="39"/>
  <c r="AR14" i="39"/>
  <c r="AR13" i="39"/>
  <c r="X42" i="39"/>
  <c r="X41" i="39"/>
  <c r="X40" i="39"/>
  <c r="X39" i="39"/>
  <c r="X38" i="39"/>
  <c r="X37" i="39"/>
  <c r="X36" i="39"/>
  <c r="X35" i="39"/>
  <c r="X34" i="39"/>
  <c r="X33" i="39"/>
  <c r="X32" i="39"/>
  <c r="X31" i="39"/>
  <c r="X30" i="39"/>
  <c r="X29" i="39"/>
  <c r="X28" i="39"/>
  <c r="X27" i="39"/>
  <c r="X26" i="39"/>
  <c r="X25" i="39"/>
  <c r="X24" i="39"/>
  <c r="X23" i="39"/>
  <c r="X22" i="39"/>
  <c r="X21" i="39"/>
  <c r="X20" i="39"/>
  <c r="X19" i="39"/>
  <c r="X18" i="39"/>
  <c r="X17" i="39"/>
  <c r="X16" i="39"/>
  <c r="X15" i="39"/>
  <c r="X14" i="39"/>
  <c r="X13" i="39"/>
  <c r="V42" i="39"/>
  <c r="V41" i="39"/>
  <c r="V40" i="39"/>
  <c r="V39" i="39"/>
  <c r="V38" i="39"/>
  <c r="V37" i="39"/>
  <c r="V36" i="39"/>
  <c r="V35" i="39"/>
  <c r="V34" i="39"/>
  <c r="V33" i="39"/>
  <c r="V32" i="39"/>
  <c r="V31" i="39"/>
  <c r="V30" i="39"/>
  <c r="V29" i="39"/>
  <c r="V28" i="39"/>
  <c r="V27" i="39"/>
  <c r="V26" i="39"/>
  <c r="V25" i="39"/>
  <c r="V24" i="39"/>
  <c r="V23" i="39"/>
  <c r="V22" i="39"/>
  <c r="V21" i="39"/>
  <c r="V20" i="39"/>
  <c r="V19" i="39"/>
  <c r="V18" i="39"/>
  <c r="V17" i="39"/>
  <c r="V16" i="39"/>
  <c r="V15" i="39"/>
  <c r="V14" i="39"/>
  <c r="V13" i="39"/>
  <c r="J56" i="44" a="1"/>
  <c r="J56" i="44" l="1"/>
  <c r="E18" i="45"/>
  <c r="I15" i="42"/>
  <c r="E24" i="45"/>
  <c r="E23" i="45"/>
  <c r="E22" i="45"/>
  <c r="E21" i="45"/>
  <c r="E20" i="45"/>
  <c r="E19" i="45"/>
  <c r="E35" i="45"/>
  <c r="E34" i="45"/>
  <c r="E33" i="45"/>
  <c r="AM16" i="40"/>
  <c r="J59" i="44" a="1"/>
  <c r="J64" i="44" a="1"/>
  <c r="J79" i="44" a="1"/>
  <c r="J57" i="44" a="1"/>
  <c r="J68" i="44" a="1"/>
  <c r="J60" i="44" a="1"/>
  <c r="J74" i="44" a="1"/>
  <c r="J115" i="44" a="1"/>
  <c r="J55" i="44" a="1"/>
  <c r="J89" i="44" a="1"/>
  <c r="J104" i="44" a="1"/>
  <c r="J100" i="44" a="1"/>
  <c r="J58" i="44" a="1"/>
  <c r="J105" i="44" a="1"/>
  <c r="J87" i="44" a="1"/>
  <c r="J97" i="44" a="1"/>
  <c r="J70" i="44" a="1"/>
  <c r="J83" i="44" a="1"/>
  <c r="J109" i="44" a="1"/>
  <c r="J114" i="44" a="1"/>
  <c r="J61" i="44" a="1"/>
  <c r="J101" i="44" a="1"/>
  <c r="J53" i="44" a="1"/>
  <c r="J71" i="44" a="1"/>
  <c r="J85" i="44" a="1"/>
  <c r="J93" i="44" a="1"/>
  <c r="J98" i="44" a="1"/>
  <c r="J103" i="44" a="1"/>
  <c r="J102" i="44" a="1"/>
  <c r="J86" i="44" a="1"/>
  <c r="J91" i="44" a="1"/>
  <c r="J108" i="44" a="1"/>
  <c r="J77" i="44" a="1"/>
  <c r="J106" i="44" a="1"/>
  <c r="J94" i="44" a="1"/>
  <c r="J111" i="44" a="1"/>
  <c r="J113" i="44" a="1"/>
  <c r="J80" i="44" a="1"/>
  <c r="J52" i="44" a="1"/>
  <c r="J82" i="44" a="1"/>
  <c r="J92" i="44" a="1"/>
  <c r="J90" i="44" a="1"/>
  <c r="J96" i="44" a="1"/>
  <c r="J112" i="44" a="1"/>
  <c r="J73" i="44" a="1"/>
  <c r="J88" i="44" a="1"/>
  <c r="J66" i="44" a="1"/>
  <c r="J76" i="44" a="1"/>
  <c r="J67" i="44" a="1"/>
  <c r="J99" i="44" a="1"/>
  <c r="J62" i="44" a="1"/>
  <c r="J81" i="44" a="1"/>
  <c r="J107" i="44" a="1"/>
  <c r="J54" i="44" a="1"/>
  <c r="J75" i="44" a="1"/>
  <c r="J95" i="44" a="1"/>
  <c r="J84" i="44" a="1"/>
  <c r="J110" i="44" a="1"/>
  <c r="J72" i="44" a="1"/>
  <c r="J63" i="44" a="1"/>
  <c r="J69" i="44" a="1"/>
  <c r="J65" i="44" a="1"/>
  <c r="J78" i="44" a="1"/>
  <c r="J66" i="44" l="1"/>
  <c r="J76" i="44"/>
  <c r="J86" i="44"/>
  <c r="J96" i="44"/>
  <c r="J106" i="44"/>
  <c r="J57" i="44"/>
  <c r="J67" i="44"/>
  <c r="J77" i="44"/>
  <c r="J87" i="44"/>
  <c r="J97" i="44"/>
  <c r="J107" i="44"/>
  <c r="J58" i="44"/>
  <c r="J68" i="44"/>
  <c r="J78" i="44"/>
  <c r="J88" i="44"/>
  <c r="J98" i="44"/>
  <c r="J108" i="44"/>
  <c r="J59" i="44"/>
  <c r="J69" i="44"/>
  <c r="J79" i="44"/>
  <c r="J89" i="44"/>
  <c r="J99" i="44"/>
  <c r="J109" i="44"/>
  <c r="J60" i="44"/>
  <c r="J70" i="44"/>
  <c r="J80" i="44"/>
  <c r="J90" i="44"/>
  <c r="J110" i="44"/>
  <c r="J71" i="44"/>
  <c r="J91" i="44"/>
  <c r="J111" i="44"/>
  <c r="J62" i="44"/>
  <c r="J112" i="44"/>
  <c r="J100" i="44"/>
  <c r="J61" i="44"/>
  <c r="J81" i="44"/>
  <c r="J101" i="44"/>
  <c r="J72" i="44"/>
  <c r="J82" i="44"/>
  <c r="J92" i="44"/>
  <c r="J102" i="44"/>
  <c r="J53" i="44"/>
  <c r="J63" i="44"/>
  <c r="J73" i="44"/>
  <c r="J83" i="44"/>
  <c r="J93" i="44"/>
  <c r="J103" i="44"/>
  <c r="J113" i="44"/>
  <c r="J54" i="44"/>
  <c r="J64" i="44"/>
  <c r="J74" i="44"/>
  <c r="J84" i="44"/>
  <c r="J94" i="44"/>
  <c r="J104" i="44"/>
  <c r="J114" i="44"/>
  <c r="J55" i="44"/>
  <c r="J65" i="44"/>
  <c r="J75" i="44"/>
  <c r="J85" i="44"/>
  <c r="J95" i="44"/>
  <c r="J105" i="44"/>
  <c r="J115" i="44"/>
  <c r="J52" i="44"/>
  <c r="E31" i="45"/>
  <c r="E30" i="45"/>
  <c r="E29" i="45"/>
  <c r="B70" i="45" l="1"/>
  <c r="B69" i="45"/>
  <c r="I42" i="45"/>
  <c r="I41" i="45"/>
  <c r="B42" i="45"/>
  <c r="B41" i="45"/>
  <c r="B123" i="45"/>
  <c r="B122" i="45"/>
  <c r="G12" i="41"/>
  <c r="E36" i="45"/>
  <c r="E32" i="45"/>
  <c r="E28" i="45"/>
  <c r="E25" i="45"/>
  <c r="E17" i="45"/>
  <c r="C37" i="45"/>
  <c r="L22" i="44"/>
  <c r="K22" i="44"/>
  <c r="L21" i="44"/>
  <c r="K21" i="44"/>
  <c r="L20" i="44"/>
  <c r="K20" i="44"/>
  <c r="L19" i="44"/>
  <c r="K19" i="44"/>
  <c r="L18" i="44"/>
  <c r="K18" i="44"/>
  <c r="L17" i="44"/>
  <c r="K17" i="44"/>
  <c r="L16" i="44"/>
  <c r="K16" i="44"/>
  <c r="L15" i="44"/>
  <c r="K15" i="44"/>
  <c r="L14" i="44"/>
  <c r="K14" i="44"/>
  <c r="L13" i="44"/>
  <c r="K13" i="44"/>
  <c r="L12" i="44"/>
  <c r="K12" i="44"/>
  <c r="L11" i="44"/>
  <c r="K11" i="44"/>
  <c r="L10" i="44"/>
  <c r="K10" i="44"/>
  <c r="L9" i="44"/>
  <c r="K9" i="44"/>
  <c r="L8" i="44"/>
  <c r="K8" i="44"/>
  <c r="L7" i="44"/>
  <c r="K7" i="44"/>
  <c r="L6" i="44"/>
  <c r="K6" i="44"/>
  <c r="L5" i="44"/>
  <c r="K5" i="44"/>
  <c r="L4" i="44"/>
  <c r="K4" i="44"/>
  <c r="L3" i="44"/>
  <c r="K3" i="44"/>
  <c r="I22" i="44"/>
  <c r="I21" i="44"/>
  <c r="I20" i="44"/>
  <c r="H22" i="44" s="1"/>
  <c r="I19" i="44"/>
  <c r="I18" i="44"/>
  <c r="I17" i="44"/>
  <c r="I16" i="44"/>
  <c r="I15" i="44"/>
  <c r="I14" i="44"/>
  <c r="I13" i="44"/>
  <c r="I12" i="44"/>
  <c r="I11" i="44"/>
  <c r="I10" i="44"/>
  <c r="I9" i="44"/>
  <c r="I8" i="44"/>
  <c r="I7" i="44"/>
  <c r="I6" i="44"/>
  <c r="I5" i="44"/>
  <c r="I4" i="44"/>
  <c r="I3" i="44"/>
  <c r="E32" i="44"/>
  <c r="E31" i="44"/>
  <c r="E30" i="44"/>
  <c r="E29" i="44"/>
  <c r="E28" i="44"/>
  <c r="J222" i="44"/>
  <c r="J221" i="44"/>
  <c r="J220" i="44"/>
  <c r="J219" i="44"/>
  <c r="J218" i="44"/>
  <c r="J217" i="44"/>
  <c r="J216" i="44"/>
  <c r="J215" i="44"/>
  <c r="J214" i="44"/>
  <c r="J213" i="44"/>
  <c r="J212" i="44"/>
  <c r="J211" i="44"/>
  <c r="J210" i="44"/>
  <c r="J209" i="44"/>
  <c r="J208" i="44"/>
  <c r="J207" i="44"/>
  <c r="J206" i="44"/>
  <c r="J205" i="44"/>
  <c r="J204" i="44"/>
  <c r="J203" i="44"/>
  <c r="J202" i="44"/>
  <c r="J201" i="44"/>
  <c r="J200" i="44"/>
  <c r="J199" i="44"/>
  <c r="J198" i="44"/>
  <c r="J197" i="44"/>
  <c r="J196" i="44"/>
  <c r="J195" i="44"/>
  <c r="J194" i="44"/>
  <c r="J223" i="44"/>
  <c r="C223" i="44"/>
  <c r="F223" i="44" s="1"/>
  <c r="C222" i="44"/>
  <c r="F222" i="44" s="1"/>
  <c r="C221" i="44"/>
  <c r="F221" i="44" s="1"/>
  <c r="C220" i="44"/>
  <c r="F220" i="44" s="1"/>
  <c r="C219" i="44"/>
  <c r="F219" i="44" s="1"/>
  <c r="C218" i="44"/>
  <c r="F218" i="44" s="1"/>
  <c r="C217" i="44"/>
  <c r="F217" i="44" s="1"/>
  <c r="C216" i="44"/>
  <c r="F216" i="44" s="1"/>
  <c r="C215" i="44"/>
  <c r="F215" i="44" s="1"/>
  <c r="C214" i="44"/>
  <c r="F214" i="44" s="1"/>
  <c r="C213" i="44"/>
  <c r="F213" i="44" s="1"/>
  <c r="C212" i="44"/>
  <c r="F212" i="44" s="1"/>
  <c r="C211" i="44"/>
  <c r="F211" i="44" s="1"/>
  <c r="C210" i="44"/>
  <c r="F210" i="44" s="1"/>
  <c r="C209" i="44"/>
  <c r="F209" i="44" s="1"/>
  <c r="C208" i="44"/>
  <c r="F208" i="44" s="1"/>
  <c r="C207" i="44"/>
  <c r="F207" i="44" s="1"/>
  <c r="C206" i="44"/>
  <c r="F206" i="44" s="1"/>
  <c r="C205" i="44"/>
  <c r="F205" i="44" s="1"/>
  <c r="C204" i="44"/>
  <c r="F204" i="44" s="1"/>
  <c r="C203" i="44"/>
  <c r="F203" i="44" s="1"/>
  <c r="C202" i="44"/>
  <c r="F202" i="44" s="1"/>
  <c r="C201" i="44"/>
  <c r="F201" i="44" s="1"/>
  <c r="C200" i="44"/>
  <c r="F200" i="44" s="1"/>
  <c r="C199" i="44"/>
  <c r="F199" i="44" s="1"/>
  <c r="C198" i="44"/>
  <c r="F198" i="44" s="1"/>
  <c r="C197" i="44"/>
  <c r="F197" i="44" s="1"/>
  <c r="C196" i="44"/>
  <c r="F196" i="44" s="1"/>
  <c r="C195" i="44"/>
  <c r="F195" i="44" s="1"/>
  <c r="C194" i="44"/>
  <c r="F194" i="44" s="1"/>
  <c r="J173" i="44"/>
  <c r="I173" i="44"/>
  <c r="H173" i="44"/>
  <c r="G173" i="44"/>
  <c r="J172" i="44"/>
  <c r="I172" i="44"/>
  <c r="H172" i="44"/>
  <c r="G172" i="44"/>
  <c r="J171" i="44"/>
  <c r="I171" i="44"/>
  <c r="H171" i="44"/>
  <c r="G171" i="44"/>
  <c r="J170" i="44"/>
  <c r="I170" i="44"/>
  <c r="H170" i="44"/>
  <c r="G170" i="44"/>
  <c r="J169" i="44"/>
  <c r="I169" i="44"/>
  <c r="H169" i="44"/>
  <c r="G169" i="44"/>
  <c r="J168" i="44"/>
  <c r="I168" i="44"/>
  <c r="H168" i="44"/>
  <c r="G168" i="44"/>
  <c r="J167" i="44"/>
  <c r="I167" i="44"/>
  <c r="H167" i="44"/>
  <c r="G167" i="44"/>
  <c r="J166" i="44"/>
  <c r="I166" i="44"/>
  <c r="H166" i="44"/>
  <c r="G166" i="44"/>
  <c r="J165" i="44"/>
  <c r="I165" i="44"/>
  <c r="H165" i="44"/>
  <c r="G165" i="44"/>
  <c r="J164" i="44"/>
  <c r="I164" i="44"/>
  <c r="H164" i="44"/>
  <c r="G164" i="44"/>
  <c r="J163" i="44"/>
  <c r="I163" i="44"/>
  <c r="H163" i="44"/>
  <c r="G163" i="44"/>
  <c r="J162" i="44"/>
  <c r="I162" i="44"/>
  <c r="H162" i="44"/>
  <c r="G162" i="44"/>
  <c r="J161" i="44"/>
  <c r="I161" i="44"/>
  <c r="H161" i="44"/>
  <c r="G161" i="44"/>
  <c r="J160" i="44"/>
  <c r="I160" i="44"/>
  <c r="H160" i="44"/>
  <c r="G160" i="44"/>
  <c r="J159" i="44"/>
  <c r="I159" i="44"/>
  <c r="H159" i="44"/>
  <c r="G159" i="44"/>
  <c r="J158" i="44"/>
  <c r="I158" i="44"/>
  <c r="H158" i="44"/>
  <c r="G158" i="44"/>
  <c r="J157" i="44"/>
  <c r="I157" i="44"/>
  <c r="H157" i="44"/>
  <c r="G157" i="44"/>
  <c r="J156" i="44"/>
  <c r="I156" i="44"/>
  <c r="H156" i="44"/>
  <c r="G156" i="44"/>
  <c r="J155" i="44"/>
  <c r="I155" i="44"/>
  <c r="H155" i="44"/>
  <c r="G155" i="44"/>
  <c r="J154" i="44"/>
  <c r="I154" i="44"/>
  <c r="H154" i="44"/>
  <c r="G154" i="44"/>
  <c r="J153" i="44"/>
  <c r="I153" i="44"/>
  <c r="H153" i="44"/>
  <c r="G153" i="44"/>
  <c r="J152" i="44"/>
  <c r="I152" i="44"/>
  <c r="H152" i="44"/>
  <c r="G152" i="44"/>
  <c r="J151" i="44"/>
  <c r="I151" i="44"/>
  <c r="H151" i="44"/>
  <c r="G151" i="44"/>
  <c r="J150" i="44"/>
  <c r="I150" i="44"/>
  <c r="H150" i="44"/>
  <c r="G150" i="44"/>
  <c r="J149" i="44"/>
  <c r="I149" i="44"/>
  <c r="H149" i="44"/>
  <c r="G149" i="44"/>
  <c r="J148" i="44"/>
  <c r="I148" i="44"/>
  <c r="H148" i="44"/>
  <c r="G148" i="44"/>
  <c r="J147" i="44"/>
  <c r="I147" i="44"/>
  <c r="H147" i="44"/>
  <c r="G147" i="44"/>
  <c r="J146" i="44"/>
  <c r="I146" i="44"/>
  <c r="H146" i="44"/>
  <c r="G146" i="44"/>
  <c r="J145" i="44"/>
  <c r="I145" i="44"/>
  <c r="H145" i="44"/>
  <c r="G145" i="44"/>
  <c r="J144" i="44"/>
  <c r="I144" i="44"/>
  <c r="H144" i="44"/>
  <c r="G144" i="44"/>
  <c r="J143" i="44"/>
  <c r="I143" i="44"/>
  <c r="H143" i="44"/>
  <c r="G143" i="44"/>
  <c r="J142" i="44"/>
  <c r="I142" i="44"/>
  <c r="H142" i="44"/>
  <c r="G142" i="44"/>
  <c r="J141" i="44"/>
  <c r="I141" i="44"/>
  <c r="H141" i="44"/>
  <c r="G141" i="44"/>
  <c r="J140" i="44"/>
  <c r="I140" i="44"/>
  <c r="H140" i="44"/>
  <c r="G140" i="44"/>
  <c r="J139" i="44"/>
  <c r="I139" i="44"/>
  <c r="H139" i="44"/>
  <c r="G139" i="44"/>
  <c r="J138" i="44"/>
  <c r="I138" i="44"/>
  <c r="H138" i="44"/>
  <c r="G138" i="44"/>
  <c r="J137" i="44"/>
  <c r="I137" i="44"/>
  <c r="H137" i="44"/>
  <c r="G137" i="44"/>
  <c r="J136" i="44"/>
  <c r="I136" i="44"/>
  <c r="H136" i="44"/>
  <c r="G136" i="44"/>
  <c r="J135" i="44"/>
  <c r="I135" i="44"/>
  <c r="H135" i="44"/>
  <c r="G135" i="44"/>
  <c r="J134" i="44"/>
  <c r="I134" i="44"/>
  <c r="H134" i="44"/>
  <c r="G134" i="44"/>
  <c r="J133" i="44"/>
  <c r="I133" i="44"/>
  <c r="H133" i="44"/>
  <c r="G133" i="44"/>
  <c r="J132" i="44"/>
  <c r="I132" i="44"/>
  <c r="H132" i="44"/>
  <c r="G132" i="44"/>
  <c r="J131" i="44"/>
  <c r="I131" i="44"/>
  <c r="H131" i="44"/>
  <c r="G131" i="44"/>
  <c r="J130" i="44"/>
  <c r="I130" i="44"/>
  <c r="H130" i="44"/>
  <c r="G130" i="44"/>
  <c r="J129" i="44"/>
  <c r="I129" i="44"/>
  <c r="H129" i="44"/>
  <c r="G129" i="44"/>
  <c r="J128" i="44"/>
  <c r="I128" i="44"/>
  <c r="H128" i="44"/>
  <c r="G128" i="44"/>
  <c r="J127" i="44"/>
  <c r="I127" i="44"/>
  <c r="H127" i="44"/>
  <c r="G127" i="44"/>
  <c r="P52" i="44"/>
  <c r="B45" i="44"/>
  <c r="C45" i="44" s="1"/>
  <c r="B44" i="44"/>
  <c r="B43" i="44"/>
  <c r="B42" i="44"/>
  <c r="F154" i="44"/>
  <c r="F148" i="44"/>
  <c r="F145" i="44"/>
  <c r="F144" i="44"/>
  <c r="F143" i="44"/>
  <c r="F142" i="44"/>
  <c r="F141" i="44"/>
  <c r="F140" i="44"/>
  <c r="F139" i="44"/>
  <c r="F138" i="44"/>
  <c r="F137" i="44"/>
  <c r="F136" i="44"/>
  <c r="F135" i="44"/>
  <c r="F134" i="44"/>
  <c r="F133" i="44"/>
  <c r="F132" i="44"/>
  <c r="F131" i="44"/>
  <c r="F130" i="44"/>
  <c r="F129" i="44"/>
  <c r="F128" i="44"/>
  <c r="F127" i="44"/>
  <c r="F1" i="44" a="1"/>
  <c r="F1" i="44" s="1"/>
  <c r="H32" i="44" s="1"/>
  <c r="I32" i="44" s="1"/>
  <c r="G31" i="44"/>
  <c r="G30" i="44"/>
  <c r="G29" i="44"/>
  <c r="G28" i="44"/>
  <c r="G32" i="44"/>
  <c r="F32" i="44"/>
  <c r="F31" i="44"/>
  <c r="F30" i="44"/>
  <c r="F29" i="44"/>
  <c r="F28" i="44"/>
  <c r="E171" i="44"/>
  <c r="E172" i="44" s="1"/>
  <c r="E173" i="44" s="1"/>
  <c r="F173" i="44" s="1"/>
  <c r="E169" i="44"/>
  <c r="E170" i="44" s="1"/>
  <c r="F170" i="44" s="1"/>
  <c r="E165" i="44"/>
  <c r="E166" i="44" s="1"/>
  <c r="E167" i="44" s="1"/>
  <c r="E168" i="44" s="1"/>
  <c r="F168" i="44" s="1"/>
  <c r="D165" i="44"/>
  <c r="D166" i="44" s="1"/>
  <c r="D167" i="44" s="1"/>
  <c r="D168" i="44" s="1"/>
  <c r="D169" i="44" s="1"/>
  <c r="D170" i="44" s="1"/>
  <c r="D171" i="44" s="1"/>
  <c r="D172" i="44" s="1"/>
  <c r="D173" i="44" s="1"/>
  <c r="E163" i="44"/>
  <c r="E164" i="44" s="1"/>
  <c r="F164" i="44" s="1"/>
  <c r="E161" i="44"/>
  <c r="E162" i="44" s="1"/>
  <c r="F162" i="44" s="1"/>
  <c r="E155" i="44"/>
  <c r="E156" i="44" s="1"/>
  <c r="E157" i="44" s="1"/>
  <c r="E158" i="44" s="1"/>
  <c r="E159" i="44" s="1"/>
  <c r="E160" i="44" s="1"/>
  <c r="F160" i="44" s="1"/>
  <c r="D155" i="44"/>
  <c r="D156" i="44" s="1"/>
  <c r="D157" i="44" s="1"/>
  <c r="D158" i="44" s="1"/>
  <c r="D159" i="44" s="1"/>
  <c r="D160" i="44" s="1"/>
  <c r="D161" i="44" s="1"/>
  <c r="D162" i="44" s="1"/>
  <c r="D163" i="44" s="1"/>
  <c r="D164" i="44" s="1"/>
  <c r="E154" i="44"/>
  <c r="E149" i="44"/>
  <c r="E150" i="44" s="1"/>
  <c r="E151" i="44" s="1"/>
  <c r="E152" i="44" s="1"/>
  <c r="E153" i="44" s="1"/>
  <c r="F153" i="44" s="1"/>
  <c r="D149" i="44"/>
  <c r="D150" i="44" s="1"/>
  <c r="D151" i="44" s="1"/>
  <c r="D152" i="44" s="1"/>
  <c r="D153" i="44" s="1"/>
  <c r="D154" i="44" s="1"/>
  <c r="E148" i="44"/>
  <c r="E147" i="44"/>
  <c r="F147" i="44" s="1"/>
  <c r="E146" i="44"/>
  <c r="F146" i="44" s="1"/>
  <c r="E145" i="44"/>
  <c r="E144" i="44"/>
  <c r="E143" i="44"/>
  <c r="E142" i="44"/>
  <c r="D142" i="44"/>
  <c r="D143" i="44" s="1"/>
  <c r="D144" i="44" s="1"/>
  <c r="D145" i="44" s="1"/>
  <c r="D146" i="44" s="1"/>
  <c r="D147" i="44" s="1"/>
  <c r="D148" i="44" s="1"/>
  <c r="E139" i="44"/>
  <c r="E140" i="44" s="1"/>
  <c r="E141" i="44" s="1"/>
  <c r="E136" i="44"/>
  <c r="E137" i="44" s="1"/>
  <c r="E138" i="44" s="1"/>
  <c r="E134" i="44"/>
  <c r="E135" i="44" s="1"/>
  <c r="E133" i="44"/>
  <c r="E130" i="44"/>
  <c r="E131" i="44" s="1"/>
  <c r="E132" i="44" s="1"/>
  <c r="E128" i="44"/>
  <c r="E129" i="44" s="1"/>
  <c r="D128" i="44"/>
  <c r="D129" i="44" s="1"/>
  <c r="D130" i="44" s="1"/>
  <c r="D131" i="44" s="1"/>
  <c r="D132" i="44" s="1"/>
  <c r="D133" i="44" s="1"/>
  <c r="D134" i="44" s="1"/>
  <c r="D135" i="44" s="1"/>
  <c r="D136" i="44" s="1"/>
  <c r="D137" i="44" s="1"/>
  <c r="D138" i="44" s="1"/>
  <c r="D139" i="44" s="1"/>
  <c r="D140" i="44" s="1"/>
  <c r="D141" i="44" s="1"/>
  <c r="E127" i="44"/>
  <c r="D127" i="44"/>
  <c r="R105" i="44"/>
  <c r="S105" i="44" s="1"/>
  <c r="P105" i="44"/>
  <c r="Q105" i="44" s="1"/>
  <c r="A105" i="44"/>
  <c r="R102" i="44"/>
  <c r="S102" i="44" s="1"/>
  <c r="P102" i="44"/>
  <c r="Q102" i="44" s="1"/>
  <c r="A102" i="44"/>
  <c r="R98" i="44"/>
  <c r="S98" i="44" s="1"/>
  <c r="P98" i="44"/>
  <c r="Q98" i="44" s="1"/>
  <c r="A98" i="44"/>
  <c r="R93" i="44"/>
  <c r="S93" i="44" s="1"/>
  <c r="P93" i="44"/>
  <c r="Q93" i="44" s="1"/>
  <c r="A93" i="44"/>
  <c r="R90" i="44"/>
  <c r="S90" i="44" s="1"/>
  <c r="P90" i="44"/>
  <c r="Q90" i="44" s="1"/>
  <c r="A90" i="44"/>
  <c r="R87" i="44"/>
  <c r="S87" i="44" s="1"/>
  <c r="P87" i="44"/>
  <c r="Q87" i="44" s="1"/>
  <c r="A87" i="44"/>
  <c r="A114" i="44"/>
  <c r="A113" i="44"/>
  <c r="A112" i="44"/>
  <c r="A111" i="44"/>
  <c r="A110" i="44"/>
  <c r="A109" i="44"/>
  <c r="A108" i="44"/>
  <c r="A107" i="44"/>
  <c r="A106" i="44"/>
  <c r="A104" i="44"/>
  <c r="A103" i="44"/>
  <c r="A101" i="44"/>
  <c r="A100" i="44"/>
  <c r="A99" i="44"/>
  <c r="A97" i="44"/>
  <c r="A96" i="44"/>
  <c r="A95" i="44"/>
  <c r="A94" i="44"/>
  <c r="A92" i="44"/>
  <c r="A91" i="44"/>
  <c r="A89" i="44"/>
  <c r="A88" i="44"/>
  <c r="A86" i="44"/>
  <c r="A85" i="44"/>
  <c r="A84" i="44"/>
  <c r="A83" i="44"/>
  <c r="A82" i="44"/>
  <c r="A81" i="44"/>
  <c r="A80" i="44"/>
  <c r="A79" i="44"/>
  <c r="A78" i="44"/>
  <c r="A77" i="44"/>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115" i="44"/>
  <c r="A8" i="30"/>
  <c r="A9" i="30" s="1"/>
  <c r="B39" i="44"/>
  <c r="C39" i="44" s="1"/>
  <c r="AB48" i="44" s="1"/>
  <c r="AB50" i="44" s="1"/>
  <c r="B38" i="44"/>
  <c r="B37" i="44"/>
  <c r="C37" i="44" s="1"/>
  <c r="W48" i="44" s="1"/>
  <c r="W50" i="44" s="1"/>
  <c r="B36" i="44"/>
  <c r="R114" i="44"/>
  <c r="S114" i="44" s="1"/>
  <c r="R113" i="44"/>
  <c r="S113" i="44" s="1"/>
  <c r="R112" i="44"/>
  <c r="S112" i="44" s="1"/>
  <c r="R111" i="44"/>
  <c r="S111" i="44" s="1"/>
  <c r="R110" i="44"/>
  <c r="S110" i="44" s="1"/>
  <c r="R109" i="44"/>
  <c r="S109" i="44" s="1"/>
  <c r="R108" i="44"/>
  <c r="S108" i="44" s="1"/>
  <c r="R107" i="44"/>
  <c r="S107" i="44" s="1"/>
  <c r="R106" i="44"/>
  <c r="S106" i="44" s="1"/>
  <c r="R104" i="44"/>
  <c r="S104" i="44" s="1"/>
  <c r="R103" i="44"/>
  <c r="S103" i="44" s="1"/>
  <c r="R101" i="44"/>
  <c r="S101" i="44" s="1"/>
  <c r="R100" i="44"/>
  <c r="S100" i="44" s="1"/>
  <c r="R99" i="44"/>
  <c r="S99" i="44" s="1"/>
  <c r="R97" i="44"/>
  <c r="S97" i="44" s="1"/>
  <c r="R96" i="44"/>
  <c r="S96" i="44" s="1"/>
  <c r="R95" i="44"/>
  <c r="S95" i="44" s="1"/>
  <c r="R94" i="44"/>
  <c r="S94" i="44" s="1"/>
  <c r="R92" i="44"/>
  <c r="S92" i="44" s="1"/>
  <c r="R91" i="44"/>
  <c r="S91" i="44" s="1"/>
  <c r="R89" i="44"/>
  <c r="S89" i="44" s="1"/>
  <c r="R88" i="44"/>
  <c r="S88" i="44" s="1"/>
  <c r="R86" i="44"/>
  <c r="S86" i="44" s="1"/>
  <c r="R85" i="44"/>
  <c r="S85" i="44" s="1"/>
  <c r="R84" i="44"/>
  <c r="S84" i="44" s="1"/>
  <c r="R83" i="44"/>
  <c r="S83" i="44" s="1"/>
  <c r="R82" i="44"/>
  <c r="S82" i="44" s="1"/>
  <c r="R81" i="44"/>
  <c r="S81" i="44" s="1"/>
  <c r="R80" i="44"/>
  <c r="S80" i="44" s="1"/>
  <c r="R79" i="44"/>
  <c r="S79" i="44" s="1"/>
  <c r="R78" i="44"/>
  <c r="S78" i="44" s="1"/>
  <c r="R77" i="44"/>
  <c r="S77" i="44" s="1"/>
  <c r="R76" i="44"/>
  <c r="S76" i="44" s="1"/>
  <c r="R75" i="44"/>
  <c r="S75" i="44" s="1"/>
  <c r="R74" i="44"/>
  <c r="S74" i="44" s="1"/>
  <c r="R73" i="44"/>
  <c r="S73" i="44" s="1"/>
  <c r="R72" i="44"/>
  <c r="S72" i="44" s="1"/>
  <c r="R71" i="44"/>
  <c r="S71" i="44" s="1"/>
  <c r="R70" i="44"/>
  <c r="S70" i="44" s="1"/>
  <c r="R69" i="44"/>
  <c r="S69" i="44" s="1"/>
  <c r="R68" i="44"/>
  <c r="S68" i="44" s="1"/>
  <c r="R67" i="44"/>
  <c r="S67" i="44" s="1"/>
  <c r="R66" i="44"/>
  <c r="S66" i="44" s="1"/>
  <c r="R65" i="44"/>
  <c r="S65" i="44" s="1"/>
  <c r="R64" i="44"/>
  <c r="S64" i="44" s="1"/>
  <c r="R63" i="44"/>
  <c r="S63" i="44" s="1"/>
  <c r="R62" i="44"/>
  <c r="S62" i="44" s="1"/>
  <c r="R61" i="44"/>
  <c r="S61" i="44" s="1"/>
  <c r="R60" i="44"/>
  <c r="S60" i="44" s="1"/>
  <c r="R59" i="44"/>
  <c r="S59" i="44" s="1"/>
  <c r="R58" i="44"/>
  <c r="S58" i="44" s="1"/>
  <c r="R57" i="44"/>
  <c r="S57" i="44" s="1"/>
  <c r="R56" i="44"/>
  <c r="S56" i="44" s="1"/>
  <c r="R55" i="44"/>
  <c r="S55" i="44" s="1"/>
  <c r="R54" i="44"/>
  <c r="S54" i="44" s="1"/>
  <c r="R53" i="44"/>
  <c r="S53" i="44" s="1"/>
  <c r="R52" i="44"/>
  <c r="S52" i="44" s="1"/>
  <c r="R115" i="44"/>
  <c r="S115" i="44" s="1"/>
  <c r="P115" i="44"/>
  <c r="Q115" i="44" s="1"/>
  <c r="P114" i="44"/>
  <c r="Q114" i="44" s="1"/>
  <c r="P113" i="44"/>
  <c r="Q113" i="44" s="1"/>
  <c r="P112" i="44"/>
  <c r="Q112" i="44" s="1"/>
  <c r="P111" i="44"/>
  <c r="Q111" i="44" s="1"/>
  <c r="P110" i="44"/>
  <c r="Q110" i="44" s="1"/>
  <c r="P109" i="44"/>
  <c r="Q109" i="44" s="1"/>
  <c r="P108" i="44"/>
  <c r="Q108" i="44" s="1"/>
  <c r="P107" i="44"/>
  <c r="Q107" i="44" s="1"/>
  <c r="P106" i="44"/>
  <c r="Q106" i="44" s="1"/>
  <c r="P104" i="44"/>
  <c r="Q104" i="44" s="1"/>
  <c r="P103" i="44"/>
  <c r="Q103" i="44" s="1"/>
  <c r="P101" i="44"/>
  <c r="Q101" i="44" s="1"/>
  <c r="P100" i="44"/>
  <c r="Q100" i="44" s="1"/>
  <c r="P99" i="44"/>
  <c r="Q99" i="44" s="1"/>
  <c r="P97" i="44"/>
  <c r="Q97" i="44" s="1"/>
  <c r="P96" i="44"/>
  <c r="Q96" i="44" s="1"/>
  <c r="P95" i="44"/>
  <c r="Q95" i="44" s="1"/>
  <c r="P94" i="44"/>
  <c r="Q94" i="44" s="1"/>
  <c r="P92" i="44"/>
  <c r="Q92" i="44" s="1"/>
  <c r="P91" i="44"/>
  <c r="Q91" i="44" s="1"/>
  <c r="P89" i="44"/>
  <c r="Q89" i="44" s="1"/>
  <c r="P88" i="44"/>
  <c r="Q88" i="44" s="1"/>
  <c r="P86" i="44"/>
  <c r="Q86" i="44" s="1"/>
  <c r="P85" i="44"/>
  <c r="Q85" i="44" s="1"/>
  <c r="P84" i="44"/>
  <c r="Q84" i="44" s="1"/>
  <c r="P83" i="44"/>
  <c r="Q83" i="44" s="1"/>
  <c r="P82" i="44"/>
  <c r="Q82" i="44" s="1"/>
  <c r="P81" i="44"/>
  <c r="Q81" i="44" s="1"/>
  <c r="P80" i="44"/>
  <c r="Q80" i="44" s="1"/>
  <c r="P79" i="44"/>
  <c r="Q79" i="44" s="1"/>
  <c r="P78" i="44"/>
  <c r="Q78" i="44" s="1"/>
  <c r="P77" i="44"/>
  <c r="Q77" i="44" s="1"/>
  <c r="P76" i="44"/>
  <c r="Q76" i="44" s="1"/>
  <c r="P75" i="44"/>
  <c r="Q75" i="44" s="1"/>
  <c r="P74" i="44"/>
  <c r="Q74" i="44" s="1"/>
  <c r="P73" i="44"/>
  <c r="Q73" i="44" s="1"/>
  <c r="P72" i="44"/>
  <c r="Q72" i="44" s="1"/>
  <c r="P71" i="44"/>
  <c r="Q71" i="44" s="1"/>
  <c r="P70" i="44"/>
  <c r="Q70" i="44" s="1"/>
  <c r="P69" i="44"/>
  <c r="Q69" i="44" s="1"/>
  <c r="P68" i="44"/>
  <c r="Q68" i="44" s="1"/>
  <c r="P67" i="44"/>
  <c r="Q67" i="44" s="1"/>
  <c r="P66" i="44"/>
  <c r="Q66" i="44" s="1"/>
  <c r="P65" i="44"/>
  <c r="Q65" i="44" s="1"/>
  <c r="P64" i="44"/>
  <c r="Q64" i="44" s="1"/>
  <c r="P63" i="44"/>
  <c r="Q63" i="44" s="1"/>
  <c r="P62" i="44"/>
  <c r="Q62" i="44" s="1"/>
  <c r="P61" i="44"/>
  <c r="Q61" i="44" s="1"/>
  <c r="P60" i="44"/>
  <c r="Q60" i="44" s="1"/>
  <c r="P59" i="44"/>
  <c r="Q59" i="44" s="1"/>
  <c r="P58" i="44"/>
  <c r="Q58" i="44" s="1"/>
  <c r="P57" i="44"/>
  <c r="Q57" i="44" s="1"/>
  <c r="P56" i="44"/>
  <c r="Q56" i="44" s="1"/>
  <c r="P55" i="44"/>
  <c r="Q55" i="44" s="1"/>
  <c r="P54" i="44"/>
  <c r="Q54" i="44" s="1"/>
  <c r="P53" i="44"/>
  <c r="Q53" i="44" s="1"/>
  <c r="Q52" i="44"/>
  <c r="AD44" i="27"/>
  <c r="F1" i="45" a="1"/>
  <c r="F1" i="45" s="1"/>
  <c r="E135" i="27"/>
  <c r="D31" i="27"/>
  <c r="D32" i="27"/>
  <c r="E28" i="27"/>
  <c r="E27" i="27"/>
  <c r="E26" i="27"/>
  <c r="E25" i="27"/>
  <c r="E24" i="27"/>
  <c r="E23" i="27"/>
  <c r="E22" i="27"/>
  <c r="E21" i="27"/>
  <c r="E20" i="27"/>
  <c r="E19" i="27"/>
  <c r="E18" i="27"/>
  <c r="E17" i="27"/>
  <c r="E16" i="27"/>
  <c r="E15" i="27"/>
  <c r="E14" i="27"/>
  <c r="E13" i="27"/>
  <c r="E12" i="27"/>
  <c r="E11" i="27"/>
  <c r="E10" i="27"/>
  <c r="E9" i="27"/>
  <c r="C31" i="27"/>
  <c r="C32" i="27"/>
  <c r="B135" i="27"/>
  <c r="E107" i="27"/>
  <c r="D107" i="27"/>
  <c r="B137" i="27"/>
  <c r="E137" i="27"/>
  <c r="E136" i="27"/>
  <c r="B136" i="27"/>
  <c r="E134" i="27"/>
  <c r="B134" i="27"/>
  <c r="E133" i="27"/>
  <c r="B133" i="27"/>
  <c r="E132" i="27"/>
  <c r="B132" i="27"/>
  <c r="B99" i="29"/>
  <c r="B100" i="29" s="1"/>
  <c r="B101" i="29" s="1"/>
  <c r="B102" i="29" s="1"/>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T5" i="27"/>
  <c r="S5" i="27"/>
  <c r="T4" i="27"/>
  <c r="S4" i="27"/>
  <c r="F31" i="27"/>
  <c r="E31" i="27"/>
  <c r="F32" i="27"/>
  <c r="E32" i="27"/>
  <c r="V5" i="27"/>
  <c r="AF5" i="27" s="1"/>
  <c r="D73" i="29"/>
  <c r="C38" i="44"/>
  <c r="F61" i="27" a="1"/>
  <c r="C36" i="44"/>
  <c r="AB76" i="44"/>
  <c r="W90" i="44"/>
  <c r="V4" i="27"/>
  <c r="M27" i="44" l="1"/>
  <c r="H3" i="44"/>
  <c r="I102" i="45"/>
  <c r="E33" i="44"/>
  <c r="D31" i="44" s="1"/>
  <c r="I103" i="45"/>
  <c r="I81" i="45"/>
  <c r="I82" i="45"/>
  <c r="I83" i="45"/>
  <c r="I84" i="45"/>
  <c r="I85" i="45"/>
  <c r="I101" i="45"/>
  <c r="I98" i="44"/>
  <c r="I99" i="44" s="1"/>
  <c r="I82" i="44"/>
  <c r="I66" i="44"/>
  <c r="I67" i="44" s="1"/>
  <c r="I60" i="44"/>
  <c r="I86" i="44"/>
  <c r="I84" i="44"/>
  <c r="I114" i="44"/>
  <c r="I115" i="44" s="1"/>
  <c r="I97" i="44"/>
  <c r="I81" i="44"/>
  <c r="I65" i="44"/>
  <c r="I74" i="44"/>
  <c r="I85" i="44"/>
  <c r="I83" i="44"/>
  <c r="I112" i="44"/>
  <c r="I96" i="44"/>
  <c r="I79" i="44"/>
  <c r="I80" i="44" s="1"/>
  <c r="I64" i="44"/>
  <c r="I76" i="44"/>
  <c r="I73" i="44"/>
  <c r="I69" i="44"/>
  <c r="I111" i="44"/>
  <c r="I95" i="44"/>
  <c r="I78" i="44"/>
  <c r="I62" i="44"/>
  <c r="I109" i="44"/>
  <c r="I56" i="44"/>
  <c r="I101" i="44"/>
  <c r="I102" i="44" s="1"/>
  <c r="I68" i="44"/>
  <c r="I110" i="44"/>
  <c r="I92" i="44"/>
  <c r="I93" i="44" s="1"/>
  <c r="I77" i="44"/>
  <c r="I61" i="44"/>
  <c r="I91" i="44"/>
  <c r="I70" i="44"/>
  <c r="I53" i="44"/>
  <c r="I108" i="44"/>
  <c r="I89" i="44"/>
  <c r="I90" i="44" s="1"/>
  <c r="I75" i="44"/>
  <c r="I58" i="44"/>
  <c r="I59" i="44" s="1"/>
  <c r="I88" i="44"/>
  <c r="I57" i="44"/>
  <c r="I54" i="44"/>
  <c r="I100" i="44"/>
  <c r="I105" i="44"/>
  <c r="I106" i="44" s="1"/>
  <c r="I104" i="44"/>
  <c r="I52" i="44"/>
  <c r="I103" i="44"/>
  <c r="H16" i="44"/>
  <c r="I104" i="45"/>
  <c r="I105" i="45"/>
  <c r="H8" i="44"/>
  <c r="H18" i="44"/>
  <c r="H17" i="44"/>
  <c r="I140" i="45"/>
  <c r="H20" i="44"/>
  <c r="H7" i="44"/>
  <c r="I143" i="45"/>
  <c r="I144" i="45"/>
  <c r="I145" i="45"/>
  <c r="I134" i="45"/>
  <c r="I142" i="45"/>
  <c r="I154" i="45"/>
  <c r="I160" i="45"/>
  <c r="I125" i="45"/>
  <c r="I141" i="45"/>
  <c r="I161" i="45"/>
  <c r="I162" i="45"/>
  <c r="I163" i="45"/>
  <c r="I165" i="45"/>
  <c r="H15" i="44"/>
  <c r="I164" i="45"/>
  <c r="D32" i="44"/>
  <c r="D30" i="44"/>
  <c r="D29" i="44"/>
  <c r="D28" i="44"/>
  <c r="I88" i="45"/>
  <c r="I170" i="45"/>
  <c r="I111" i="45"/>
  <c r="I92" i="45"/>
  <c r="I132" i="45"/>
  <c r="I152" i="45"/>
  <c r="I73" i="45"/>
  <c r="I93" i="45"/>
  <c r="I113" i="45"/>
  <c r="H19" i="44"/>
  <c r="I86" i="45"/>
  <c r="I106" i="45"/>
  <c r="I126" i="45"/>
  <c r="I146" i="45"/>
  <c r="I166" i="45"/>
  <c r="I87" i="45"/>
  <c r="I107" i="45"/>
  <c r="H21" i="44"/>
  <c r="I127" i="45"/>
  <c r="I147" i="45"/>
  <c r="I167" i="45"/>
  <c r="I108" i="45"/>
  <c r="I128" i="45"/>
  <c r="I148" i="45"/>
  <c r="I168" i="45"/>
  <c r="I89" i="45"/>
  <c r="I109" i="45"/>
  <c r="I129" i="45"/>
  <c r="I149" i="45"/>
  <c r="I169" i="45"/>
  <c r="I90" i="45"/>
  <c r="I110" i="45"/>
  <c r="I130" i="45"/>
  <c r="I150" i="45"/>
  <c r="I91" i="45"/>
  <c r="I131" i="45"/>
  <c r="I151" i="45"/>
  <c r="I171" i="45"/>
  <c r="I112" i="45"/>
  <c r="I133" i="45"/>
  <c r="I153" i="45"/>
  <c r="I74" i="45"/>
  <c r="I94" i="45"/>
  <c r="I114" i="45"/>
  <c r="I75" i="45"/>
  <c r="I95" i="45"/>
  <c r="I115" i="45"/>
  <c r="H14" i="44"/>
  <c r="I135" i="45"/>
  <c r="I155" i="45"/>
  <c r="I76" i="45"/>
  <c r="I96" i="45"/>
  <c r="I116" i="45"/>
  <c r="H10" i="44"/>
  <c r="I136" i="45"/>
  <c r="I156" i="45"/>
  <c r="I77" i="45"/>
  <c r="I97" i="45"/>
  <c r="I117" i="45"/>
  <c r="I137" i="45"/>
  <c r="I157" i="45"/>
  <c r="I78" i="45"/>
  <c r="I98" i="45"/>
  <c r="I118" i="45"/>
  <c r="I138" i="45"/>
  <c r="I158" i="45"/>
  <c r="I79" i="45"/>
  <c r="I99" i="45"/>
  <c r="I119" i="45"/>
  <c r="I139" i="45"/>
  <c r="I159" i="45"/>
  <c r="I80" i="45"/>
  <c r="I100" i="45"/>
  <c r="C46" i="44"/>
  <c r="B46" i="44" s="1"/>
  <c r="M13" i="44"/>
  <c r="N13" i="44" s="1"/>
  <c r="M4" i="44"/>
  <c r="N4" i="44" s="1"/>
  <c r="M5" i="44"/>
  <c r="N5" i="44" s="1"/>
  <c r="M7" i="44"/>
  <c r="N7" i="44" s="1"/>
  <c r="M8" i="44"/>
  <c r="N8" i="44" s="1"/>
  <c r="M9" i="44"/>
  <c r="N9" i="44" s="1"/>
  <c r="M10" i="44"/>
  <c r="N10" i="44" s="1"/>
  <c r="M11" i="44"/>
  <c r="N11" i="44" s="1"/>
  <c r="M12" i="44"/>
  <c r="N12" i="44" s="1"/>
  <c r="M14" i="44"/>
  <c r="N14" i="44" s="1"/>
  <c r="M15" i="44"/>
  <c r="N15" i="44" s="1"/>
  <c r="M6" i="44"/>
  <c r="N6" i="44" s="1"/>
  <c r="M17" i="44"/>
  <c r="N17" i="44" s="1"/>
  <c r="M18" i="44"/>
  <c r="N18" i="44" s="1"/>
  <c r="M19" i="44"/>
  <c r="N19" i="44" s="1"/>
  <c r="M16" i="44"/>
  <c r="N16" i="44" s="1"/>
  <c r="M20" i="44"/>
  <c r="N20" i="44" s="1"/>
  <c r="M21" i="44"/>
  <c r="N21" i="44" s="1"/>
  <c r="M22" i="44"/>
  <c r="N22" i="44" s="1"/>
  <c r="M3" i="44"/>
  <c r="N3" i="44" s="1"/>
  <c r="H30" i="44"/>
  <c r="H11" i="44"/>
  <c r="H12" i="44"/>
  <c r="H9" i="44"/>
  <c r="H13" i="44"/>
  <c r="H5" i="44"/>
  <c r="H4" i="44"/>
  <c r="H6" i="44"/>
  <c r="H166" i="45"/>
  <c r="AF48" i="44"/>
  <c r="AF50" i="44" s="1"/>
  <c r="AE48" i="44"/>
  <c r="AE50" i="44" s="1"/>
  <c r="AD48" i="44"/>
  <c r="AD50" i="44" s="1"/>
  <c r="AD47" i="44"/>
  <c r="AF47" i="44"/>
  <c r="AE47" i="44"/>
  <c r="F155" i="44"/>
  <c r="F156" i="44"/>
  <c r="F158" i="44"/>
  <c r="F166" i="44"/>
  <c r="F167" i="44"/>
  <c r="F149" i="44"/>
  <c r="F169" i="44"/>
  <c r="F150" i="44"/>
  <c r="F151" i="44"/>
  <c r="F171" i="44"/>
  <c r="F152" i="44"/>
  <c r="F172" i="44"/>
  <c r="F157" i="44"/>
  <c r="F159" i="44"/>
  <c r="F161" i="44"/>
  <c r="F163" i="44"/>
  <c r="F165" i="44"/>
  <c r="H29" i="44"/>
  <c r="H31" i="44"/>
  <c r="I31" i="44" s="1"/>
  <c r="H28" i="44"/>
  <c r="I28" i="44" s="1"/>
  <c r="J140" i="45"/>
  <c r="I87" i="44"/>
  <c r="H158" i="45"/>
  <c r="H162" i="45"/>
  <c r="H161" i="45"/>
  <c r="H168" i="45"/>
  <c r="H164" i="45"/>
  <c r="H160" i="45"/>
  <c r="H167" i="45"/>
  <c r="H152" i="45"/>
  <c r="H169" i="45"/>
  <c r="H143" i="45"/>
  <c r="H156" i="45"/>
  <c r="H163" i="45"/>
  <c r="H171" i="45"/>
  <c r="H165" i="45"/>
  <c r="F61" i="27"/>
  <c r="N27" i="44"/>
  <c r="AA48" i="44"/>
  <c r="AA50" i="44" s="1"/>
  <c r="T48" i="44"/>
  <c r="T50" i="44" s="1"/>
  <c r="U48" i="44"/>
  <c r="U50" i="44" s="1"/>
  <c r="Y48" i="44"/>
  <c r="Y50" i="44" s="1"/>
  <c r="Z48" i="44"/>
  <c r="Z50" i="44" s="1"/>
  <c r="V48" i="44"/>
  <c r="V50" i="44" s="1"/>
  <c r="X48" i="44"/>
  <c r="X50" i="44" s="1"/>
  <c r="AC48" i="44"/>
  <c r="AC50" i="44" s="1"/>
  <c r="U47" i="44"/>
  <c r="V47" i="44"/>
  <c r="W47" i="44"/>
  <c r="X47" i="44"/>
  <c r="Z47" i="44"/>
  <c r="Y47" i="44"/>
  <c r="AA47" i="44"/>
  <c r="AB47" i="44"/>
  <c r="AC47" i="44"/>
  <c r="T47" i="44"/>
  <c r="R6" i="27"/>
  <c r="R7" i="27"/>
  <c r="R3" i="27" s="1"/>
  <c r="AF38" i="27"/>
  <c r="AF35" i="27"/>
  <c r="AF39" i="27"/>
  <c r="AF37" i="27"/>
  <c r="AF36" i="27"/>
  <c r="AF34" i="27"/>
  <c r="AG5" i="27"/>
  <c r="AG4" i="27"/>
  <c r="AF4" i="27"/>
  <c r="U82" i="27"/>
  <c r="U83" i="27" s="1"/>
  <c r="U84" i="27" s="1"/>
  <c r="U85" i="27" s="1"/>
  <c r="U86" i="27" s="1"/>
  <c r="U87" i="27" s="1"/>
  <c r="U88" i="27" s="1"/>
  <c r="U89" i="27" s="1"/>
  <c r="U90" i="27" s="1"/>
  <c r="U91" i="27" s="1"/>
  <c r="I73" i="27"/>
  <c r="I72" i="27"/>
  <c r="I71" i="27"/>
  <c r="I74" i="27"/>
  <c r="I75" i="27"/>
  <c r="I67" i="27"/>
  <c r="U5" i="27"/>
  <c r="T76" i="44" a="1"/>
  <c r="AE58" i="44"/>
  <c r="U106" i="44" a="1"/>
  <c r="AB100" i="44"/>
  <c r="AB102" i="44"/>
  <c r="U62" i="44" a="1"/>
  <c r="Y62" i="44" a="1"/>
  <c r="AB64" i="44"/>
  <c r="AB53" i="44"/>
  <c r="AE110" i="44"/>
  <c r="AD111" i="44"/>
  <c r="AE101" i="44"/>
  <c r="AF111" i="44"/>
  <c r="AF81" i="44"/>
  <c r="W85" i="44"/>
  <c r="U52" i="44" a="1"/>
  <c r="Y109" i="44" a="1"/>
  <c r="AB85" i="44"/>
  <c r="Z103" i="44" a="1"/>
  <c r="AF64" i="44"/>
  <c r="Y97" i="44" a="1"/>
  <c r="U4" i="27"/>
  <c r="U90" i="44" a="1"/>
  <c r="W70" i="44"/>
  <c r="AE74" i="44"/>
  <c r="U64" i="44" a="1"/>
  <c r="AB56" i="44"/>
  <c r="W65" i="44"/>
  <c r="AE100" i="44"/>
  <c r="U54" i="44" a="1"/>
  <c r="AB105" i="44"/>
  <c r="AF84" i="44"/>
  <c r="W52" i="44"/>
  <c r="AB60" i="44"/>
  <c r="AB93" i="44"/>
  <c r="U93" i="44" a="1"/>
  <c r="T102" i="44" a="1"/>
  <c r="T108" i="44" a="1"/>
  <c r="Z97" i="44" a="1"/>
  <c r="T57" i="44" a="1"/>
  <c r="AE69" i="44"/>
  <c r="U69" i="44" a="1"/>
  <c r="AF65" i="44"/>
  <c r="Y98" i="44" a="1"/>
  <c r="AF103" i="44"/>
  <c r="W62" i="44"/>
  <c r="AB81" i="44"/>
  <c r="AE91" i="44"/>
  <c r="W103" i="44"/>
  <c r="AB104" i="44"/>
  <c r="U61" i="44" a="1"/>
  <c r="W54" i="44"/>
  <c r="Y66" i="44" a="1"/>
  <c r="W97" i="44"/>
  <c r="T64" i="44" a="1"/>
  <c r="Z95" i="44" a="1"/>
  <c r="AB86" i="44"/>
  <c r="Y58" i="44" a="1"/>
  <c r="AD102" i="44"/>
  <c r="Z69" i="44" a="1"/>
  <c r="AB65" i="44"/>
  <c r="AD99" i="44"/>
  <c r="T112" i="44" a="1"/>
  <c r="AD96" i="44"/>
  <c r="Y68" i="44" a="1"/>
  <c r="U70" i="44" a="1"/>
  <c r="W83" i="44"/>
  <c r="U83" i="44" a="1"/>
  <c r="AF100" i="44"/>
  <c r="AE53" i="44"/>
  <c r="AE62" i="44"/>
  <c r="AF112" i="44"/>
  <c r="AB88" i="44"/>
  <c r="Y99" i="44" a="1"/>
  <c r="Y73" i="44" a="1"/>
  <c r="AD105" i="44"/>
  <c r="AD56" i="44"/>
  <c r="AE65" i="44"/>
  <c r="T95" i="44" a="1"/>
  <c r="Y112" i="44" a="1"/>
  <c r="T89" i="44" a="1"/>
  <c r="AE106" i="44"/>
  <c r="U102" i="44" a="1"/>
  <c r="AF93" i="44"/>
  <c r="AE75" i="44"/>
  <c r="AF52" i="44"/>
  <c r="U65" i="44" a="1"/>
  <c r="AE77" i="44"/>
  <c r="T79" i="44" a="1"/>
  <c r="AE90" i="44"/>
  <c r="AE78" i="44"/>
  <c r="AF102" i="44"/>
  <c r="Z112" i="44" a="1"/>
  <c r="U75" i="44" a="1"/>
  <c r="Z89" i="44" a="1"/>
  <c r="Y103" i="44" a="1"/>
  <c r="AB77" i="44"/>
  <c r="AD68" i="44"/>
  <c r="AF98" i="44"/>
  <c r="Y78" i="44" a="1"/>
  <c r="AB69" i="44"/>
  <c r="AD90" i="44"/>
  <c r="AF83" i="44"/>
  <c r="W81" i="44"/>
  <c r="T53" i="44" a="1"/>
  <c r="AD52" i="44"/>
  <c r="Z54" i="44" a="1"/>
  <c r="W58" i="44"/>
  <c r="V79" i="44"/>
  <c r="U91" i="44" a="1"/>
  <c r="Y89" i="44" a="1"/>
  <c r="Y52" i="44" a="1"/>
  <c r="U84" i="44" a="1"/>
  <c r="AE66" i="44"/>
  <c r="T69" i="44" a="1"/>
  <c r="U108" i="44" a="1"/>
  <c r="W57" i="44"/>
  <c r="Z110" i="44" a="1"/>
  <c r="AB95" i="44"/>
  <c r="AF95" i="44"/>
  <c r="W89" i="44"/>
  <c r="W112" i="44"/>
  <c r="AD53" i="44"/>
  <c r="AF77" i="44"/>
  <c r="W102" i="44"/>
  <c r="U73" i="44" a="1"/>
  <c r="Z65" i="44" a="1"/>
  <c r="AD66" i="44"/>
  <c r="Z57" i="44" a="1"/>
  <c r="W79" i="44"/>
  <c r="Y56" i="44" a="1"/>
  <c r="Y105" i="44" a="1"/>
  <c r="W64" i="44"/>
  <c r="AD89" i="44"/>
  <c r="Z88" i="44" a="1"/>
  <c r="T87" i="44" a="1"/>
  <c r="U111" i="44" a="1"/>
  <c r="T52" i="44" a="1"/>
  <c r="Z86" i="44" a="1"/>
  <c r="AD103" i="44"/>
  <c r="T98" i="44" a="1"/>
  <c r="AD91" i="44"/>
  <c r="U101" i="44" a="1"/>
  <c r="Y77" i="44" a="1"/>
  <c r="U58" i="44" a="1"/>
  <c r="AE103" i="44"/>
  <c r="T92" i="44" a="1"/>
  <c r="W95" i="44"/>
  <c r="AA103" i="44"/>
  <c r="AF70" i="44"/>
  <c r="AE85" i="44"/>
  <c r="AB103" i="44"/>
  <c r="AF88" i="44"/>
  <c r="AB109" i="44"/>
  <c r="AF105" i="44"/>
  <c r="AD106" i="44"/>
  <c r="U103" i="44" a="1"/>
  <c r="U82" i="44" a="1"/>
  <c r="Y64" i="44" a="1"/>
  <c r="U100" i="44" a="1"/>
  <c r="U74" i="44" a="1"/>
  <c r="AB68" i="44"/>
  <c r="AE96" i="44"/>
  <c r="X68" i="44"/>
  <c r="T68" i="44" a="1"/>
  <c r="AE95" i="44"/>
  <c r="AE111" i="44"/>
  <c r="AE88" i="44"/>
  <c r="W100" i="44"/>
  <c r="Z111" i="44" a="1"/>
  <c r="AE70" i="44"/>
  <c r="Y88" i="44" a="1"/>
  <c r="AB112" i="44"/>
  <c r="Y83" i="44" a="1"/>
  <c r="AF62" i="44"/>
  <c r="U112" i="44" a="1"/>
  <c r="AF82" i="44"/>
  <c r="Z92" i="44" a="1"/>
  <c r="U86" i="44" a="1"/>
  <c r="W111" i="44"/>
  <c r="T74" i="44" a="1"/>
  <c r="AE104" i="44"/>
  <c r="U53" i="44" a="1"/>
  <c r="AD64" i="44"/>
  <c r="AB52" i="44"/>
  <c r="AB98" i="44"/>
  <c r="U92" i="44" a="1"/>
  <c r="AE83" i="44"/>
  <c r="U81" i="44" a="1"/>
  <c r="W104" i="44"/>
  <c r="T103" i="44" a="1"/>
  <c r="T62" i="44" a="1"/>
  <c r="Z60" i="44" a="1"/>
  <c r="T99" i="44" a="1"/>
  <c r="U60" i="44" a="1"/>
  <c r="Y93" i="44" a="1"/>
  <c r="AD62" i="44"/>
  <c r="AF86" i="44"/>
  <c r="T104" i="44" a="1"/>
  <c r="AE56" i="44"/>
  <c r="W84" i="44"/>
  <c r="T91" i="44" a="1"/>
  <c r="Z83" i="44" a="1"/>
  <c r="Y102" i="44" a="1"/>
  <c r="AE109" i="44"/>
  <c r="AF96" i="44"/>
  <c r="T106" i="44" a="1"/>
  <c r="W99" i="44"/>
  <c r="Z93" i="44" a="1"/>
  <c r="T84" i="44" a="1"/>
  <c r="W73" i="44"/>
  <c r="Z61" i="44" a="1"/>
  <c r="W82" i="44"/>
  <c r="Z96" i="44" a="1"/>
  <c r="Z84" i="44" a="1"/>
  <c r="AE87" i="44"/>
  <c r="AD87" i="44"/>
  <c r="AF73" i="44"/>
  <c r="Z82" i="44" a="1"/>
  <c r="Z81" i="44" a="1"/>
  <c r="W69" i="44"/>
  <c r="AF85" i="44"/>
  <c r="AE92" i="44"/>
  <c r="Z105" i="44" a="1"/>
  <c r="T82" i="44" a="1"/>
  <c r="AF68" i="44"/>
  <c r="T109" i="44" a="1"/>
  <c r="AD57" i="44"/>
  <c r="W93" i="44"/>
  <c r="AD95" i="44"/>
  <c r="Y60" i="44" a="1"/>
  <c r="U56" i="44" a="1"/>
  <c r="T60" i="44" a="1"/>
  <c r="T111" i="44" a="1"/>
  <c r="AD86" i="44"/>
  <c r="Y101" i="44" a="1"/>
  <c r="T66" i="44" a="1"/>
  <c r="AB106" i="44"/>
  <c r="T65" i="44" a="1"/>
  <c r="AB96" i="44"/>
  <c r="AE105" i="44"/>
  <c r="AF53" i="44"/>
  <c r="AB70" i="44"/>
  <c r="T73" i="44" a="1"/>
  <c r="AE97" i="44"/>
  <c r="AD81" i="44"/>
  <c r="W105" i="44"/>
  <c r="T77" i="44" a="1"/>
  <c r="Y70" i="44" a="1"/>
  <c r="U109" i="44" a="1"/>
  <c r="Y92" i="44" a="1"/>
  <c r="U105" i="44" a="1"/>
  <c r="AF79" i="44"/>
  <c r="AB101" i="44"/>
  <c r="W98" i="44"/>
  <c r="Z68" i="44" a="1"/>
  <c r="AF58" i="44"/>
  <c r="W74" i="44"/>
  <c r="U57" i="44" a="1"/>
  <c r="Z66" i="44" a="1"/>
  <c r="AE112" i="44"/>
  <c r="Y104" i="44" a="1"/>
  <c r="AB83" i="44"/>
  <c r="Y57" i="44" a="1"/>
  <c r="AE57" i="44"/>
  <c r="AB57" i="44"/>
  <c r="Z87" i="44" a="1"/>
  <c r="W53" i="44"/>
  <c r="AB110" i="44"/>
  <c r="U96" i="44" a="1"/>
  <c r="AE81" i="44"/>
  <c r="AB54" i="44"/>
  <c r="W77" i="44"/>
  <c r="AB97" i="44"/>
  <c r="AF69" i="44"/>
  <c r="AF106" i="44"/>
  <c r="V82" i="44"/>
  <c r="W75" i="44"/>
  <c r="AE73" i="44"/>
  <c r="AB74" i="44"/>
  <c r="AE76" i="44"/>
  <c r="T86" i="44" a="1"/>
  <c r="W76" i="44"/>
  <c r="AE64" i="44"/>
  <c r="AE61" i="44"/>
  <c r="AB61" i="44"/>
  <c r="Z91" i="44" a="1"/>
  <c r="AF92" i="44"/>
  <c r="Y96" i="44" a="1"/>
  <c r="U95" i="44" a="1"/>
  <c r="AE54" i="44"/>
  <c r="W61" i="44"/>
  <c r="AE79" i="44"/>
  <c r="T61" i="44" a="1"/>
  <c r="U77" i="44" a="1"/>
  <c r="Z53" i="44" a="1"/>
  <c r="AF99" i="44"/>
  <c r="AD70" i="44"/>
  <c r="AF97" i="44"/>
  <c r="AD109" i="44"/>
  <c r="W78" i="44"/>
  <c r="Z104" i="44" a="1"/>
  <c r="AB58" i="44"/>
  <c r="AF89" i="44"/>
  <c r="AF108" i="44"/>
  <c r="AF78" i="44"/>
  <c r="W106" i="44"/>
  <c r="Y75" i="44" a="1"/>
  <c r="AE89" i="44"/>
  <c r="AB62" i="44"/>
  <c r="AF101" i="44"/>
  <c r="Z106" i="44" a="1"/>
  <c r="AE52" i="44"/>
  <c r="AD69" i="44"/>
  <c r="AB90" i="44"/>
  <c r="Z109" i="44" a="1"/>
  <c r="AF75" i="44"/>
  <c r="AE93" i="44"/>
  <c r="Y79" i="44" a="1"/>
  <c r="AF60" i="44"/>
  <c r="T70" i="44" a="1"/>
  <c r="AB108" i="44"/>
  <c r="Y61" i="44" a="1"/>
  <c r="U104" i="44" a="1"/>
  <c r="U99" i="44" a="1"/>
  <c r="W60" i="44"/>
  <c r="AB78" i="44"/>
  <c r="Y76" i="44" a="1"/>
  <c r="Z98" i="44" a="1"/>
  <c r="AD83" i="44"/>
  <c r="AD100" i="44"/>
  <c r="AF66" i="44"/>
  <c r="T101" i="44" a="1"/>
  <c r="U76" i="44" a="1"/>
  <c r="Y81" i="44" a="1"/>
  <c r="T54" i="44" a="1"/>
  <c r="AD85" i="44"/>
  <c r="Y111" i="44" a="1"/>
  <c r="W86" i="44"/>
  <c r="T110" i="44" a="1"/>
  <c r="AE84" i="44"/>
  <c r="AE68" i="44"/>
  <c r="Z108" i="44" a="1"/>
  <c r="AB66" i="44"/>
  <c r="Y74" i="44" a="1"/>
  <c r="AB73" i="44"/>
  <c r="AD82" i="44"/>
  <c r="U97" i="44" a="1"/>
  <c r="T105" i="44" a="1"/>
  <c r="AD65" i="44"/>
  <c r="T78" i="44" a="1"/>
  <c r="W92" i="44"/>
  <c r="W91" i="44"/>
  <c r="AF109" i="44"/>
  <c r="Y100" i="44" a="1"/>
  <c r="W96" i="44"/>
  <c r="AF56" i="44"/>
  <c r="W110" i="44"/>
  <c r="Y86" i="44" a="1"/>
  <c r="Y91" i="44" a="1"/>
  <c r="U88" i="44" a="1"/>
  <c r="AD61" i="44"/>
  <c r="Z99" i="44" a="1"/>
  <c r="T58" i="44" a="1"/>
  <c r="AB79" i="44"/>
  <c r="Z62" i="44" a="1"/>
  <c r="AD93" i="44"/>
  <c r="Z64" i="44" a="1"/>
  <c r="AD84" i="44"/>
  <c r="Y95" i="44" a="1"/>
  <c r="AF87" i="44"/>
  <c r="AB111" i="44"/>
  <c r="Y85" i="44" a="1"/>
  <c r="AE86" i="44"/>
  <c r="AD54" i="44"/>
  <c r="Z90" i="44" a="1"/>
  <c r="W108" i="44"/>
  <c r="AF104" i="44"/>
  <c r="T75" i="44" a="1"/>
  <c r="AD88" i="44"/>
  <c r="AD58" i="44"/>
  <c r="Y65" i="44" a="1"/>
  <c r="AC97" i="44"/>
  <c r="AD97" i="44"/>
  <c r="Y53" i="44" a="1"/>
  <c r="AD98" i="44"/>
  <c r="T100" i="44" a="1"/>
  <c r="AE99" i="44"/>
  <c r="AB89" i="44"/>
  <c r="Y54" i="44" a="1"/>
  <c r="AF76" i="44"/>
  <c r="U110" i="44" a="1"/>
  <c r="AB82" i="44"/>
  <c r="AD108" i="44"/>
  <c r="AF74" i="44"/>
  <c r="U89" i="44" a="1"/>
  <c r="T97" i="44" a="1"/>
  <c r="T96" i="44" a="1"/>
  <c r="W66" i="44"/>
  <c r="Y69" i="44" a="1"/>
  <c r="AE108" i="44"/>
  <c r="AE60" i="44"/>
  <c r="Z70" i="44" a="1"/>
  <c r="Y82" i="44" a="1"/>
  <c r="Y108" i="44" a="1"/>
  <c r="W101" i="44"/>
  <c r="AF90" i="44"/>
  <c r="AF57" i="44"/>
  <c r="T85" i="44" a="1"/>
  <c r="AF54" i="44"/>
  <c r="U66" i="44" a="1"/>
  <c r="AD101" i="44"/>
  <c r="AE82" i="44"/>
  <c r="Z100" i="44" a="1"/>
  <c r="U79" i="44" a="1"/>
  <c r="U85" i="44" a="1"/>
  <c r="W109" i="44"/>
  <c r="AB92" i="44"/>
  <c r="AE102" i="44"/>
  <c r="Y106" i="44" a="1"/>
  <c r="AE98" i="44"/>
  <c r="AB84" i="44"/>
  <c r="AF110" i="44"/>
  <c r="Z56" i="44" a="1"/>
  <c r="AD60" i="44"/>
  <c r="AB75" i="44"/>
  <c r="Z52" i="44" a="1"/>
  <c r="Z85" i="44" a="1"/>
  <c r="T93" i="44" a="1"/>
  <c r="AB91" i="44"/>
  <c r="AB99" i="44"/>
  <c r="Y84" i="44" a="1"/>
  <c r="W68" i="44"/>
  <c r="AF61" i="44"/>
  <c r="W88" i="44"/>
  <c r="AD110" i="44"/>
  <c r="AD104" i="44"/>
  <c r="AF91" i="44"/>
  <c r="U98" i="44" a="1"/>
  <c r="Y90" i="44" a="1"/>
  <c r="Y110" i="44" a="1"/>
  <c r="T83" i="44" a="1"/>
  <c r="T90" i="44" a="1"/>
  <c r="T56" i="44" a="1"/>
  <c r="Z102" i="44" a="1"/>
  <c r="Y87" i="44" a="1"/>
  <c r="Z58" i="44" a="1"/>
  <c r="T88" i="44" a="1"/>
  <c r="Z101" i="44" a="1"/>
  <c r="W56" i="44"/>
  <c r="AB87" i="44"/>
  <c r="AD92" i="44"/>
  <c r="U68" i="44" a="1"/>
  <c r="T81" i="44" a="1"/>
  <c r="AD112" i="44"/>
  <c r="J73" i="45" l="1"/>
  <c r="J107" i="45"/>
  <c r="J75" i="45"/>
  <c r="J117" i="45"/>
  <c r="J86" i="45"/>
  <c r="J112" i="45"/>
  <c r="J116" i="45"/>
  <c r="I55" i="44"/>
  <c r="I71" i="44"/>
  <c r="I72" i="44" s="1"/>
  <c r="I113" i="44"/>
  <c r="I63" i="44"/>
  <c r="J130" i="45"/>
  <c r="J144" i="45"/>
  <c r="J138" i="45"/>
  <c r="J125" i="45"/>
  <c r="I94" i="44"/>
  <c r="I107" i="44"/>
  <c r="H145" i="45"/>
  <c r="B47" i="44"/>
  <c r="B48" i="44"/>
  <c r="B49" i="44"/>
  <c r="C13" i="46" s="1"/>
  <c r="H150" i="45"/>
  <c r="H149" i="45"/>
  <c r="H148" i="45"/>
  <c r="H151" i="45"/>
  <c r="I30" i="44"/>
  <c r="C43" i="44"/>
  <c r="J127" i="45"/>
  <c r="J128" i="45"/>
  <c r="J126" i="45"/>
  <c r="J154" i="45"/>
  <c r="J137" i="45"/>
  <c r="J168" i="45"/>
  <c r="J148" i="45"/>
  <c r="J136" i="45"/>
  <c r="J151" i="45"/>
  <c r="J159" i="45"/>
  <c r="J146" i="45"/>
  <c r="J165" i="45"/>
  <c r="J153" i="45"/>
  <c r="H141" i="45"/>
  <c r="C44" i="44"/>
  <c r="I29" i="44"/>
  <c r="H170" i="45"/>
  <c r="H157" i="45"/>
  <c r="H153" i="45"/>
  <c r="J157" i="45"/>
  <c r="J163" i="45"/>
  <c r="J167" i="45"/>
  <c r="J132" i="45"/>
  <c r="J164" i="45"/>
  <c r="J80" i="45"/>
  <c r="J76" i="45"/>
  <c r="J166" i="45"/>
  <c r="J92" i="45"/>
  <c r="J82" i="45"/>
  <c r="J85" i="45"/>
  <c r="J131" i="45"/>
  <c r="J90" i="45"/>
  <c r="J94" i="45"/>
  <c r="J161" i="45"/>
  <c r="J145" i="45"/>
  <c r="J158" i="45"/>
  <c r="J81" i="45"/>
  <c r="J171" i="45"/>
  <c r="J150" i="45"/>
  <c r="J84" i="45"/>
  <c r="J96" i="45"/>
  <c r="J141" i="45"/>
  <c r="F169" i="45"/>
  <c r="J142" i="45"/>
  <c r="J162" i="45"/>
  <c r="J147" i="45"/>
  <c r="J139" i="45"/>
  <c r="J134" i="45"/>
  <c r="J143" i="45"/>
  <c r="J156" i="45"/>
  <c r="J135" i="45"/>
  <c r="J170" i="45"/>
  <c r="J133" i="45"/>
  <c r="J149" i="45"/>
  <c r="J160" i="45"/>
  <c r="J129" i="45"/>
  <c r="J155" i="45"/>
  <c r="J169" i="45"/>
  <c r="K164" i="45"/>
  <c r="H77" i="45"/>
  <c r="H129" i="45"/>
  <c r="H103" i="45"/>
  <c r="H155" i="45"/>
  <c r="H87" i="45"/>
  <c r="H139" i="45"/>
  <c r="H88" i="45"/>
  <c r="H140" i="45"/>
  <c r="H83" i="45"/>
  <c r="H135" i="45"/>
  <c r="H95" i="45"/>
  <c r="H147" i="45"/>
  <c r="H107" i="45"/>
  <c r="H159" i="45"/>
  <c r="H86" i="45"/>
  <c r="H138" i="45"/>
  <c r="H90" i="45"/>
  <c r="H142" i="45"/>
  <c r="H84" i="45"/>
  <c r="H136" i="45"/>
  <c r="H74" i="45"/>
  <c r="H126" i="45"/>
  <c r="H82" i="45"/>
  <c r="H134" i="45"/>
  <c r="H81" i="45"/>
  <c r="H133" i="45"/>
  <c r="H102" i="45"/>
  <c r="H154" i="45"/>
  <c r="H85" i="45"/>
  <c r="H137" i="45"/>
  <c r="H92" i="45"/>
  <c r="H144" i="45"/>
  <c r="H76" i="45"/>
  <c r="H128" i="45"/>
  <c r="H94" i="45"/>
  <c r="H146" i="45"/>
  <c r="H75" i="45"/>
  <c r="H127" i="45"/>
  <c r="H80" i="45"/>
  <c r="H132" i="45"/>
  <c r="H78" i="45"/>
  <c r="H130" i="45"/>
  <c r="H79" i="45"/>
  <c r="H131" i="45"/>
  <c r="H73" i="45"/>
  <c r="H125" i="45"/>
  <c r="J103" i="45"/>
  <c r="F103" i="45"/>
  <c r="J102" i="45"/>
  <c r="H116" i="45"/>
  <c r="H111" i="45"/>
  <c r="H98" i="45"/>
  <c r="J119" i="45"/>
  <c r="H109" i="45"/>
  <c r="H119" i="45"/>
  <c r="J106" i="45"/>
  <c r="H112" i="45"/>
  <c r="H97" i="45"/>
  <c r="H106" i="45"/>
  <c r="J113" i="45"/>
  <c r="J88" i="45"/>
  <c r="F91" i="45"/>
  <c r="J91" i="45"/>
  <c r="J89" i="45"/>
  <c r="J93" i="45"/>
  <c r="H93" i="45"/>
  <c r="H91" i="45"/>
  <c r="J101" i="45"/>
  <c r="J109" i="45"/>
  <c r="H108" i="45"/>
  <c r="H101" i="45"/>
  <c r="H110" i="45"/>
  <c r="J108" i="45"/>
  <c r="H99" i="45"/>
  <c r="H113" i="45"/>
  <c r="H100" i="45"/>
  <c r="H89" i="45"/>
  <c r="H114" i="45"/>
  <c r="H117" i="45"/>
  <c r="H96" i="45"/>
  <c r="H105" i="45"/>
  <c r="H115" i="45"/>
  <c r="H104" i="45"/>
  <c r="H118" i="45"/>
  <c r="J97" i="45"/>
  <c r="J95" i="45"/>
  <c r="J98" i="45"/>
  <c r="J99" i="45"/>
  <c r="J115" i="45"/>
  <c r="J105" i="45"/>
  <c r="J104" i="45"/>
  <c r="J74" i="45"/>
  <c r="J118" i="45"/>
  <c r="J110" i="45"/>
  <c r="J83" i="45"/>
  <c r="J87" i="45"/>
  <c r="J79" i="45"/>
  <c r="J111" i="45"/>
  <c r="J77" i="45"/>
  <c r="J78" i="45"/>
  <c r="J114" i="45"/>
  <c r="K82" i="45"/>
  <c r="T105" i="44"/>
  <c r="G119" i="45" s="1"/>
  <c r="U105" i="44"/>
  <c r="E119" i="45" s="1"/>
  <c r="Z105" i="44"/>
  <c r="E171" i="45" s="1"/>
  <c r="Y105" i="44"/>
  <c r="G171" i="45" s="1"/>
  <c r="G53" i="45"/>
  <c r="Z102" i="44"/>
  <c r="M63" i="45" s="1"/>
  <c r="U102" i="44"/>
  <c r="T102" i="44"/>
  <c r="Y102" i="44"/>
  <c r="Y98" i="44"/>
  <c r="G165" i="45" s="1"/>
  <c r="T98" i="44"/>
  <c r="G113" i="45" s="1"/>
  <c r="U98" i="44"/>
  <c r="E113" i="45" s="1"/>
  <c r="Z98" i="44"/>
  <c r="E165" i="45" s="1"/>
  <c r="T93" i="44"/>
  <c r="Z93" i="44"/>
  <c r="M61" i="45" s="1"/>
  <c r="Y93" i="44"/>
  <c r="U93" i="44"/>
  <c r="T90" i="44"/>
  <c r="Z90" i="44"/>
  <c r="M60" i="45" s="1"/>
  <c r="Y90" i="44"/>
  <c r="U90" i="44"/>
  <c r="Z87" i="44"/>
  <c r="M59" i="45" s="1"/>
  <c r="T87" i="44"/>
  <c r="Y87" i="44"/>
  <c r="T108" i="44"/>
  <c r="G95" i="45" s="1"/>
  <c r="T95" i="44"/>
  <c r="G111" i="45" s="1"/>
  <c r="T82" i="44"/>
  <c r="G103" i="45" s="1"/>
  <c r="T101" i="44"/>
  <c r="G116" i="45" s="1"/>
  <c r="T88" i="44"/>
  <c r="G107" i="45" s="1"/>
  <c r="T77" i="44"/>
  <c r="G94" i="45" s="1"/>
  <c r="T62" i="44"/>
  <c r="G87" i="45" s="1"/>
  <c r="T57" i="44"/>
  <c r="G80" i="45" s="1"/>
  <c r="T110" i="44"/>
  <c r="G99" i="45" s="1"/>
  <c r="T104" i="44"/>
  <c r="G118" i="45" s="1"/>
  <c r="T97" i="44"/>
  <c r="G112" i="45" s="1"/>
  <c r="T91" i="44"/>
  <c r="G110" i="45" s="1"/>
  <c r="T84" i="44"/>
  <c r="G105" i="45" s="1"/>
  <c r="T79" i="44"/>
  <c r="G91" i="45" s="1"/>
  <c r="T74" i="44"/>
  <c r="G92" i="45" s="1"/>
  <c r="T69" i="44"/>
  <c r="G83" i="45" s="1"/>
  <c r="T64" i="44"/>
  <c r="G76" i="45" s="1"/>
  <c r="T54" i="44"/>
  <c r="G75" i="45" s="1"/>
  <c r="T103" i="44"/>
  <c r="G117" i="45" s="1"/>
  <c r="T86" i="44"/>
  <c r="G102" i="45" s="1"/>
  <c r="T109" i="44"/>
  <c r="G96" i="45" s="1"/>
  <c r="T70" i="44"/>
  <c r="G84" i="45" s="1"/>
  <c r="T65" i="44"/>
  <c r="G77" i="45" s="1"/>
  <c r="T60" i="44"/>
  <c r="G85" i="45" s="1"/>
  <c r="T100" i="44"/>
  <c r="G115" i="45" s="1"/>
  <c r="T75" i="44"/>
  <c r="G89" i="45" s="1"/>
  <c r="T112" i="44"/>
  <c r="G98" i="45" s="1"/>
  <c r="T85" i="44"/>
  <c r="G104" i="45" s="1"/>
  <c r="T73" i="44"/>
  <c r="G93" i="45" s="1"/>
  <c r="T83" i="44"/>
  <c r="G101" i="45" s="1"/>
  <c r="T111" i="44"/>
  <c r="G97" i="45" s="1"/>
  <c r="T78" i="44"/>
  <c r="G90" i="45" s="1"/>
  <c r="T96" i="44"/>
  <c r="G114" i="45" s="1"/>
  <c r="T81" i="44"/>
  <c r="G106" i="45" s="1"/>
  <c r="T68" i="44"/>
  <c r="G82" i="45" s="1"/>
  <c r="T58" i="44"/>
  <c r="G81" i="45" s="1"/>
  <c r="T53" i="44"/>
  <c r="G74" i="45" s="1"/>
  <c r="T61" i="44"/>
  <c r="G86" i="45" s="1"/>
  <c r="T92" i="44"/>
  <c r="G109" i="45" s="1"/>
  <c r="T99" i="44"/>
  <c r="T89" i="44"/>
  <c r="G108" i="45" s="1"/>
  <c r="T76" i="44"/>
  <c r="G88" i="45" s="1"/>
  <c r="T66" i="44"/>
  <c r="G78" i="45" s="1"/>
  <c r="T56" i="44"/>
  <c r="G79" i="45" s="1"/>
  <c r="T106" i="44"/>
  <c r="Z86" i="44"/>
  <c r="E154" i="45" s="1"/>
  <c r="Z53" i="44"/>
  <c r="E126" i="45" s="1"/>
  <c r="Z110" i="44"/>
  <c r="E151" i="45" s="1"/>
  <c r="Z104" i="44"/>
  <c r="E170" i="45" s="1"/>
  <c r="Z97" i="44"/>
  <c r="E164" i="45" s="1"/>
  <c r="Z91" i="44"/>
  <c r="E162" i="45" s="1"/>
  <c r="Z84" i="44"/>
  <c r="E157" i="45" s="1"/>
  <c r="Z69" i="44"/>
  <c r="E135" i="45" s="1"/>
  <c r="Z64" i="44"/>
  <c r="E128" i="45" s="1"/>
  <c r="Z54" i="44"/>
  <c r="E127" i="45" s="1"/>
  <c r="Z112" i="44"/>
  <c r="E150" i="45" s="1"/>
  <c r="Z100" i="44"/>
  <c r="E167" i="45" s="1"/>
  <c r="Z81" i="44"/>
  <c r="E158" i="45" s="1"/>
  <c r="Z66" i="44"/>
  <c r="E130" i="45" s="1"/>
  <c r="Z56" i="44"/>
  <c r="E131" i="45" s="1"/>
  <c r="Z96" i="44"/>
  <c r="E166" i="45" s="1"/>
  <c r="Z58" i="44"/>
  <c r="E133" i="45" s="1"/>
  <c r="Z61" i="44"/>
  <c r="E138" i="45" s="1"/>
  <c r="Z109" i="44"/>
  <c r="E148" i="45" s="1"/>
  <c r="Z103" i="44"/>
  <c r="E169" i="45" s="1"/>
  <c r="Z89" i="44"/>
  <c r="E160" i="45" s="1"/>
  <c r="Z83" i="44"/>
  <c r="E153" i="45" s="1"/>
  <c r="Z68" i="44"/>
  <c r="E134" i="45" s="1"/>
  <c r="Z95" i="44"/>
  <c r="E163" i="45" s="1"/>
  <c r="Z101" i="44"/>
  <c r="E168" i="45" s="1"/>
  <c r="Z85" i="44"/>
  <c r="E156" i="45" s="1"/>
  <c r="Z108" i="44"/>
  <c r="E147" i="45" s="1"/>
  <c r="Z92" i="44"/>
  <c r="E161" i="45" s="1"/>
  <c r="Z99" i="44"/>
  <c r="M62" i="45" s="1"/>
  <c r="Z106" i="44"/>
  <c r="M64" i="45" s="1"/>
  <c r="Z60" i="44"/>
  <c r="E137" i="45" s="1"/>
  <c r="Z111" i="44"/>
  <c r="E149" i="45" s="1"/>
  <c r="Z82" i="44"/>
  <c r="E155" i="45" s="1"/>
  <c r="Z70" i="44"/>
  <c r="E136" i="45" s="1"/>
  <c r="Z62" i="44"/>
  <c r="E139" i="45" s="1"/>
  <c r="Z88" i="44"/>
  <c r="E159" i="45" s="1"/>
  <c r="Z65" i="44"/>
  <c r="E129" i="45" s="1"/>
  <c r="Z57" i="44"/>
  <c r="E132" i="45" s="1"/>
  <c r="Y110" i="44"/>
  <c r="G151" i="45" s="1"/>
  <c r="Y84" i="44"/>
  <c r="G157" i="45" s="1"/>
  <c r="Y79" i="44"/>
  <c r="G143" i="45" s="1"/>
  <c r="Y64" i="44"/>
  <c r="G128" i="45" s="1"/>
  <c r="Y54" i="44"/>
  <c r="G127" i="45" s="1"/>
  <c r="Y104" i="44"/>
  <c r="G170" i="45" s="1"/>
  <c r="Y97" i="44"/>
  <c r="G164" i="45" s="1"/>
  <c r="Y91" i="44"/>
  <c r="G162" i="45" s="1"/>
  <c r="Y74" i="44"/>
  <c r="G144" i="45" s="1"/>
  <c r="Y69" i="44"/>
  <c r="G135" i="45" s="1"/>
  <c r="Y112" i="44"/>
  <c r="G150" i="45" s="1"/>
  <c r="Y100" i="44"/>
  <c r="G167" i="45" s="1"/>
  <c r="Y86" i="44"/>
  <c r="G154" i="45" s="1"/>
  <c r="Y81" i="44"/>
  <c r="G158" i="45" s="1"/>
  <c r="Y76" i="44"/>
  <c r="G140" i="45" s="1"/>
  <c r="Y66" i="44"/>
  <c r="G130" i="45" s="1"/>
  <c r="Y61" i="44"/>
  <c r="G138" i="45" s="1"/>
  <c r="Y56" i="44"/>
  <c r="G131" i="45" s="1"/>
  <c r="Y88" i="44"/>
  <c r="G159" i="45" s="1"/>
  <c r="Y70" i="44"/>
  <c r="G136" i="45" s="1"/>
  <c r="Y65" i="44"/>
  <c r="G129" i="45" s="1"/>
  <c r="Y60" i="44"/>
  <c r="G137" i="45" s="1"/>
  <c r="Y75" i="44"/>
  <c r="G141" i="45" s="1"/>
  <c r="Y95" i="44"/>
  <c r="G163" i="45" s="1"/>
  <c r="Y101" i="44"/>
  <c r="G168" i="45" s="1"/>
  <c r="Y85" i="44"/>
  <c r="G156" i="45" s="1"/>
  <c r="Y108" i="44"/>
  <c r="G147" i="45" s="1"/>
  <c r="Y73" i="44"/>
  <c r="G145" i="45" s="1"/>
  <c r="Y68" i="44"/>
  <c r="G134" i="45" s="1"/>
  <c r="Y58" i="44"/>
  <c r="G133" i="45" s="1"/>
  <c r="Y53" i="44"/>
  <c r="G126" i="45" s="1"/>
  <c r="Y92" i="44"/>
  <c r="G161" i="45" s="1"/>
  <c r="Y78" i="44"/>
  <c r="G142" i="45" s="1"/>
  <c r="Y99" i="44"/>
  <c r="Y83" i="44"/>
  <c r="G153" i="45" s="1"/>
  <c r="Y106" i="44"/>
  <c r="Y62" i="44"/>
  <c r="G139" i="45" s="1"/>
  <c r="Y96" i="44"/>
  <c r="G166" i="45" s="1"/>
  <c r="Y82" i="44"/>
  <c r="G155" i="45" s="1"/>
  <c r="Y89" i="44"/>
  <c r="G160" i="45" s="1"/>
  <c r="Y111" i="44"/>
  <c r="G149" i="45" s="1"/>
  <c r="Y109" i="44"/>
  <c r="G148" i="45" s="1"/>
  <c r="Y103" i="44"/>
  <c r="G169" i="45" s="1"/>
  <c r="Y77" i="44"/>
  <c r="G146" i="45" s="1"/>
  <c r="Y57" i="44"/>
  <c r="G132" i="45" s="1"/>
  <c r="U110" i="44"/>
  <c r="U97" i="44"/>
  <c r="E112" i="45" s="1"/>
  <c r="U79" i="44"/>
  <c r="E91" i="45" s="1"/>
  <c r="U64" i="44"/>
  <c r="E76" i="45" s="1"/>
  <c r="U54" i="44"/>
  <c r="E75" i="45" s="1"/>
  <c r="U100" i="44"/>
  <c r="E115" i="45" s="1"/>
  <c r="U108" i="44"/>
  <c r="E95" i="45" s="1"/>
  <c r="U101" i="44"/>
  <c r="E116" i="45" s="1"/>
  <c r="U95" i="44"/>
  <c r="E111" i="45" s="1"/>
  <c r="U88" i="44"/>
  <c r="E107" i="45" s="1"/>
  <c r="U82" i="44"/>
  <c r="E103" i="45" s="1"/>
  <c r="U77" i="44"/>
  <c r="U62" i="44"/>
  <c r="E87" i="45" s="1"/>
  <c r="U57" i="44"/>
  <c r="E80" i="45" s="1"/>
  <c r="U91" i="44"/>
  <c r="E110" i="45" s="1"/>
  <c r="U74" i="44"/>
  <c r="E92" i="45" s="1"/>
  <c r="U104" i="44"/>
  <c r="E118" i="45" s="1"/>
  <c r="U84" i="44"/>
  <c r="E105" i="45" s="1"/>
  <c r="U69" i="44"/>
  <c r="E83" i="45" s="1"/>
  <c r="U112" i="44"/>
  <c r="U86" i="44"/>
  <c r="E102" i="45" s="1"/>
  <c r="U81" i="44"/>
  <c r="E106" i="45" s="1"/>
  <c r="U76" i="44"/>
  <c r="E88" i="45" s="1"/>
  <c r="U66" i="44"/>
  <c r="E78" i="45" s="1"/>
  <c r="U61" i="44"/>
  <c r="E86" i="45" s="1"/>
  <c r="U56" i="44"/>
  <c r="E79" i="45" s="1"/>
  <c r="U109" i="44"/>
  <c r="E96" i="45" s="1"/>
  <c r="U70" i="44"/>
  <c r="E84" i="45" s="1"/>
  <c r="U65" i="44"/>
  <c r="E77" i="45" s="1"/>
  <c r="U60" i="44"/>
  <c r="E85" i="45" s="1"/>
  <c r="U75" i="44"/>
  <c r="E89" i="45" s="1"/>
  <c r="U85" i="44"/>
  <c r="E104" i="45" s="1"/>
  <c r="U73" i="44"/>
  <c r="E93" i="45" s="1"/>
  <c r="U68" i="44"/>
  <c r="E82" i="45" s="1"/>
  <c r="U58" i="44"/>
  <c r="E81" i="45" s="1"/>
  <c r="U53" i="44"/>
  <c r="E74" i="45" s="1"/>
  <c r="U92" i="44"/>
  <c r="E109" i="45" s="1"/>
  <c r="U111" i="44"/>
  <c r="U99" i="44"/>
  <c r="U83" i="44"/>
  <c r="E101" i="45" s="1"/>
  <c r="U96" i="44"/>
  <c r="E114" i="45" s="1"/>
  <c r="U89" i="44"/>
  <c r="E108" i="45" s="1"/>
  <c r="U103" i="44"/>
  <c r="E117" i="45" s="1"/>
  <c r="U106" i="44"/>
  <c r="Z52" i="44"/>
  <c r="E125" i="45" s="1"/>
  <c r="Y52" i="44"/>
  <c r="G125" i="45" s="1"/>
  <c r="U52" i="44"/>
  <c r="T52" i="44"/>
  <c r="G73" i="45" s="1"/>
  <c r="AE5" i="27"/>
  <c r="AD5" i="27"/>
  <c r="AG34" i="27"/>
  <c r="AG39" i="27"/>
  <c r="AG36" i="27"/>
  <c r="AG38" i="27"/>
  <c r="AG35" i="27"/>
  <c r="AG37" i="27"/>
  <c r="AE4" i="27"/>
  <c r="AD4" i="27"/>
  <c r="J73" i="27"/>
  <c r="K73" i="27"/>
  <c r="B73" i="27" s="1"/>
  <c r="J74" i="27"/>
  <c r="J72" i="27"/>
  <c r="K72" i="27"/>
  <c r="B72" i="27" s="1"/>
  <c r="J71" i="27"/>
  <c r="K71" i="27"/>
  <c r="B71" i="27" s="1"/>
  <c r="K74" i="27"/>
  <c r="B74" i="27" s="1"/>
  <c r="J75" i="27"/>
  <c r="K75" i="27"/>
  <c r="B75" i="27" s="1"/>
  <c r="AD59" i="27"/>
  <c r="AE59" i="27" s="1"/>
  <c r="K67" i="27"/>
  <c r="B67" i="27" s="1"/>
  <c r="J67" i="27"/>
  <c r="AC88" i="44"/>
  <c r="V65" i="44"/>
  <c r="AA111" i="44"/>
  <c r="X60" i="44"/>
  <c r="X101" i="44"/>
  <c r="E41" i="46" a="1"/>
  <c r="D32" i="46" a="1"/>
  <c r="X77" i="44"/>
  <c r="E27" i="46" a="1"/>
  <c r="X106" i="44"/>
  <c r="D30" i="46" a="1"/>
  <c r="V93" i="44"/>
  <c r="AA91" i="44"/>
  <c r="AC103" i="44"/>
  <c r="D46" i="46" a="1"/>
  <c r="V91" i="44"/>
  <c r="D40" i="46" a="1"/>
  <c r="AC73" i="44"/>
  <c r="D20" i="46" a="1"/>
  <c r="AC53" i="44"/>
  <c r="AA106" i="44"/>
  <c r="V86" i="44"/>
  <c r="AA102" i="44"/>
  <c r="D48" i="46" a="1"/>
  <c r="AA96" i="44"/>
  <c r="AC96" i="44"/>
  <c r="AC81" i="44"/>
  <c r="V105" i="44"/>
  <c r="X54" i="44"/>
  <c r="AA70" i="44"/>
  <c r="AA52" i="44"/>
  <c r="X88" i="44"/>
  <c r="D36" i="46" a="1"/>
  <c r="AA97" i="44"/>
  <c r="X103" i="44"/>
  <c r="AC102" i="44"/>
  <c r="V64" i="44"/>
  <c r="E32" i="46" a="1"/>
  <c r="AC62" i="44"/>
  <c r="AC89" i="44"/>
  <c r="AA84" i="44"/>
  <c r="D44" i="46" a="1"/>
  <c r="E19" i="46" a="1"/>
  <c r="AA101" i="44"/>
  <c r="V109" i="44"/>
  <c r="D21" i="46" a="1"/>
  <c r="V108" i="44"/>
  <c r="AA56" i="44"/>
  <c r="V66" i="44"/>
  <c r="AA58" i="44"/>
  <c r="AA98" i="44"/>
  <c r="AA65" i="44"/>
  <c r="AA87" i="44"/>
  <c r="E48" i="46" a="1"/>
  <c r="AA60" i="44"/>
  <c r="V77" i="44"/>
  <c r="V110" i="44"/>
  <c r="AC58" i="44"/>
  <c r="D22" i="46" a="1"/>
  <c r="V99" i="44"/>
  <c r="E43" i="46" a="1"/>
  <c r="E26" i="46" a="1"/>
  <c r="X65" i="44"/>
  <c r="X83" i="44"/>
  <c r="V53" i="44"/>
  <c r="AA62" i="44"/>
  <c r="V88" i="44"/>
  <c r="AC104" i="44"/>
  <c r="AC54" i="44"/>
  <c r="AC109" i="44"/>
  <c r="AC110" i="44"/>
  <c r="AC76" i="44"/>
  <c r="E20" i="46" a="1"/>
  <c r="AC82" i="44"/>
  <c r="X69" i="44"/>
  <c r="D42" i="46" a="1"/>
  <c r="AC85" i="44"/>
  <c r="E34" i="46" a="1"/>
  <c r="X99" i="44"/>
  <c r="AA105" i="44"/>
  <c r="AC69" i="44"/>
  <c r="AC100" i="44"/>
  <c r="X91" i="44"/>
  <c r="V83" i="44"/>
  <c r="E33" i="46" a="1"/>
  <c r="AC112" i="44"/>
  <c r="D26" i="46" a="1"/>
  <c r="E42" i="46" a="1"/>
  <c r="X82" i="44"/>
  <c r="V81" i="44"/>
  <c r="D24" i="46" a="1"/>
  <c r="X86" i="44"/>
  <c r="V90" i="44"/>
  <c r="AC101" i="44"/>
  <c r="AC52" i="44"/>
  <c r="AA64" i="44"/>
  <c r="X78" i="44"/>
  <c r="X57" i="44"/>
  <c r="X102" i="44"/>
  <c r="V106" i="44"/>
  <c r="V111" i="44"/>
  <c r="AA93" i="44"/>
  <c r="E37" i="46" a="1"/>
  <c r="V96" i="44"/>
  <c r="X62" i="44"/>
  <c r="X112" i="44"/>
  <c r="AA99" i="44"/>
  <c r="V84" i="44"/>
  <c r="V54" i="44"/>
  <c r="AC65" i="44"/>
  <c r="V89" i="44"/>
  <c r="V74" i="44"/>
  <c r="AA109" i="44"/>
  <c r="AA112" i="44"/>
  <c r="D34" i="46" a="1"/>
  <c r="X105" i="44"/>
  <c r="V102" i="44"/>
  <c r="AA85" i="44"/>
  <c r="X96" i="44"/>
  <c r="X109" i="44"/>
  <c r="D25" i="46" a="1"/>
  <c r="D43" i="46" a="1"/>
  <c r="X79" i="44"/>
  <c r="AC70" i="44"/>
  <c r="D44" i="44"/>
  <c r="X110" i="44"/>
  <c r="X81" i="44"/>
  <c r="V100" i="44"/>
  <c r="AA88" i="44"/>
  <c r="AA95" i="44"/>
  <c r="X64" i="44"/>
  <c r="V60" i="44"/>
  <c r="V69" i="44"/>
  <c r="X90" i="44"/>
  <c r="AA82" i="44"/>
  <c r="X76" i="44"/>
  <c r="X108" i="44"/>
  <c r="AC68" i="44"/>
  <c r="D38" i="46" a="1"/>
  <c r="AA108" i="44"/>
  <c r="D31" i="46" a="1"/>
  <c r="V101" i="44"/>
  <c r="V97" i="44"/>
  <c r="V73" i="44"/>
  <c r="V85" i="44"/>
  <c r="X74" i="44"/>
  <c r="AC79" i="44"/>
  <c r="V70" i="44"/>
  <c r="AC83" i="44"/>
  <c r="E29" i="46" a="1"/>
  <c r="X104" i="44"/>
  <c r="E30" i="46" a="1"/>
  <c r="E25" i="46" a="1"/>
  <c r="AA110" i="44"/>
  <c r="AC108" i="44"/>
  <c r="AA61" i="44"/>
  <c r="D45" i="46" a="1"/>
  <c r="AA81" i="44"/>
  <c r="V92" i="44"/>
  <c r="AA89" i="44"/>
  <c r="V52" i="44"/>
  <c r="E45" i="46" a="1"/>
  <c r="AC60" i="44"/>
  <c r="X61" i="44"/>
  <c r="X92" i="44"/>
  <c r="AC56" i="44"/>
  <c r="D27" i="46" a="1"/>
  <c r="AC77" i="44"/>
  <c r="E28" i="46" a="1"/>
  <c r="D29" i="46" a="1"/>
  <c r="AC84" i="44"/>
  <c r="D28" i="46" a="1"/>
  <c r="D35" i="46" a="1"/>
  <c r="X98" i="44"/>
  <c r="X58" i="44"/>
  <c r="AC95" i="44"/>
  <c r="AC75" i="44"/>
  <c r="AA92" i="44"/>
  <c r="V95" i="44"/>
  <c r="E24" i="46" a="1"/>
  <c r="D23" i="46" a="1"/>
  <c r="E21" i="46" a="1"/>
  <c r="AC106" i="44"/>
  <c r="AA100" i="44"/>
  <c r="E35" i="46" a="1"/>
  <c r="AC61" i="44"/>
  <c r="AC64" i="44"/>
  <c r="X97" i="44"/>
  <c r="AC99" i="44"/>
  <c r="X52" i="44"/>
  <c r="AA66" i="44"/>
  <c r="E39" i="46" a="1"/>
  <c r="X93" i="44"/>
  <c r="AC93" i="44"/>
  <c r="AA104" i="44"/>
  <c r="AC78" i="44"/>
  <c r="D43" i="44"/>
  <c r="V98" i="44"/>
  <c r="AC105" i="44"/>
  <c r="V61" i="44"/>
  <c r="AA54" i="44"/>
  <c r="AA86" i="44"/>
  <c r="E40" i="46" a="1"/>
  <c r="X100" i="44"/>
  <c r="V104" i="44"/>
  <c r="E22" i="46" a="1"/>
  <c r="X89" i="44"/>
  <c r="X111" i="44"/>
  <c r="E44" i="46" a="1"/>
  <c r="X84" i="44"/>
  <c r="D39" i="46" a="1"/>
  <c r="E36" i="46" a="1"/>
  <c r="AC90" i="44"/>
  <c r="AA83" i="44"/>
  <c r="AC92" i="44"/>
  <c r="X53" i="44"/>
  <c r="V56" i="44"/>
  <c r="E47" i="46" a="1"/>
  <c r="X56" i="44"/>
  <c r="D37" i="46" a="1"/>
  <c r="E46" i="46" a="1"/>
  <c r="X85" i="44"/>
  <c r="X73" i="44"/>
  <c r="X66" i="44"/>
  <c r="AC86" i="44"/>
  <c r="V58" i="44"/>
  <c r="V62" i="44"/>
  <c r="X95" i="44"/>
  <c r="AC91" i="44"/>
  <c r="AA53" i="44"/>
  <c r="AC98" i="44"/>
  <c r="AC87" i="44"/>
  <c r="V57" i="44"/>
  <c r="AC74" i="44"/>
  <c r="D41" i="46" a="1"/>
  <c r="AC57" i="44"/>
  <c r="AA68" i="44"/>
  <c r="AC111" i="44"/>
  <c r="V103" i="44"/>
  <c r="X70" i="44"/>
  <c r="D33" i="46" a="1"/>
  <c r="D19" i="46" a="1"/>
  <c r="V112" i="44"/>
  <c r="V76" i="44"/>
  <c r="D47" i="46" a="1"/>
  <c r="E31" i="46" a="1"/>
  <c r="X75" i="44"/>
  <c r="E38" i="46" a="1"/>
  <c r="AC66" i="44"/>
  <c r="AA69" i="44"/>
  <c r="V75" i="44"/>
  <c r="AA90" i="44"/>
  <c r="E23" i="46" a="1"/>
  <c r="AA57" i="44"/>
  <c r="V68" i="44"/>
  <c r="F99" i="45" l="1"/>
  <c r="E94" i="45"/>
  <c r="F56" i="45"/>
  <c r="F84" i="45"/>
  <c r="F126" i="45"/>
  <c r="F147" i="45"/>
  <c r="F154" i="45"/>
  <c r="F138" i="45"/>
  <c r="F165" i="45"/>
  <c r="F88" i="45"/>
  <c r="G50" i="45"/>
  <c r="F77" i="45"/>
  <c r="G62" i="45"/>
  <c r="K77" i="45"/>
  <c r="G63" i="45"/>
  <c r="K98" i="45"/>
  <c r="F101" i="45"/>
  <c r="K85" i="45"/>
  <c r="F110" i="45"/>
  <c r="F94" i="45"/>
  <c r="G56" i="45"/>
  <c r="F85" i="45"/>
  <c r="K75" i="45"/>
  <c r="F129" i="45"/>
  <c r="F130" i="45"/>
  <c r="K87" i="45"/>
  <c r="F151" i="45"/>
  <c r="F162" i="45"/>
  <c r="F167" i="45"/>
  <c r="K148" i="45"/>
  <c r="F150" i="45"/>
  <c r="F170" i="45"/>
  <c r="K129" i="45"/>
  <c r="K156" i="45"/>
  <c r="K139" i="45"/>
  <c r="K163" i="45"/>
  <c r="K106" i="45"/>
  <c r="K159" i="45"/>
  <c r="F81" i="45"/>
  <c r="K97" i="45"/>
  <c r="K109" i="45"/>
  <c r="K128" i="45"/>
  <c r="K107" i="45"/>
  <c r="K94" i="45"/>
  <c r="K127" i="45"/>
  <c r="K154" i="45"/>
  <c r="K138" i="45"/>
  <c r="F79" i="45"/>
  <c r="F104" i="45"/>
  <c r="K86" i="45"/>
  <c r="K134" i="45"/>
  <c r="K73" i="45"/>
  <c r="K140" i="45"/>
  <c r="K116" i="45"/>
  <c r="K161" i="45"/>
  <c r="K114" i="45"/>
  <c r="K79" i="45"/>
  <c r="K144" i="45"/>
  <c r="F107" i="45"/>
  <c r="K150" i="45"/>
  <c r="F105" i="45"/>
  <c r="F118" i="45"/>
  <c r="K101" i="45"/>
  <c r="K89" i="45"/>
  <c r="K111" i="45"/>
  <c r="K136" i="45"/>
  <c r="K162" i="45"/>
  <c r="F98" i="45"/>
  <c r="K76" i="45"/>
  <c r="K167" i="45"/>
  <c r="K153" i="45"/>
  <c r="K133" i="45"/>
  <c r="K149" i="45"/>
  <c r="K170" i="45"/>
  <c r="K135" i="45"/>
  <c r="K103" i="45"/>
  <c r="K168" i="45"/>
  <c r="G64" i="45"/>
  <c r="K141" i="45"/>
  <c r="K125" i="45"/>
  <c r="K105" i="45"/>
  <c r="K147" i="45"/>
  <c r="K110" i="45"/>
  <c r="K90" i="45"/>
  <c r="K158" i="45"/>
  <c r="K102" i="45"/>
  <c r="G55" i="45"/>
  <c r="F93" i="45"/>
  <c r="K166" i="45"/>
  <c r="K145" i="45"/>
  <c r="F80" i="45"/>
  <c r="K155" i="45"/>
  <c r="K126" i="45"/>
  <c r="K132" i="45"/>
  <c r="K143" i="45"/>
  <c r="K165" i="45"/>
  <c r="K115" i="45"/>
  <c r="K74" i="45"/>
  <c r="K108" i="45"/>
  <c r="K169" i="45"/>
  <c r="K99" i="45"/>
  <c r="K88" i="45"/>
  <c r="F117" i="45"/>
  <c r="K137" i="45"/>
  <c r="K92" i="45"/>
  <c r="K142" i="45"/>
  <c r="K81" i="45"/>
  <c r="K93" i="45"/>
  <c r="K157" i="45"/>
  <c r="G60" i="45"/>
  <c r="E20" i="46"/>
  <c r="E195" i="44" s="1"/>
  <c r="D19" i="46"/>
  <c r="D194" i="44" s="1"/>
  <c r="D44" i="46"/>
  <c r="D219" i="44" s="1"/>
  <c r="D45" i="46"/>
  <c r="D220" i="44" s="1"/>
  <c r="D46" i="46"/>
  <c r="D221" i="44" s="1"/>
  <c r="D47" i="46"/>
  <c r="D222" i="44" s="1"/>
  <c r="C49" i="44"/>
  <c r="C14" i="46" s="1"/>
  <c r="E30" i="46"/>
  <c r="E205" i="44" s="1"/>
  <c r="E36" i="46"/>
  <c r="E211" i="44" s="1"/>
  <c r="E29" i="46"/>
  <c r="E204" i="44" s="1"/>
  <c r="E41" i="46"/>
  <c r="E216" i="44" s="1"/>
  <c r="E32" i="46"/>
  <c r="E207" i="44" s="1"/>
  <c r="E46" i="46"/>
  <c r="E221" i="44" s="1"/>
  <c r="E42" i="46"/>
  <c r="E217" i="44" s="1"/>
  <c r="E35" i="46"/>
  <c r="E210" i="44" s="1"/>
  <c r="E19" i="46"/>
  <c r="E194" i="44" s="1"/>
  <c r="E37" i="46"/>
  <c r="E212" i="44" s="1"/>
  <c r="E21" i="46"/>
  <c r="E196" i="44" s="1"/>
  <c r="E26" i="46"/>
  <c r="E201" i="44" s="1"/>
  <c r="E24" i="46"/>
  <c r="E199" i="44" s="1"/>
  <c r="E23" i="46"/>
  <c r="E198" i="44" s="1"/>
  <c r="E31" i="46"/>
  <c r="E206" i="44" s="1"/>
  <c r="E27" i="46"/>
  <c r="E202" i="44" s="1"/>
  <c r="E44" i="46"/>
  <c r="E219" i="44" s="1"/>
  <c r="E34" i="46"/>
  <c r="E209" i="44" s="1"/>
  <c r="E28" i="46"/>
  <c r="E203" i="44" s="1"/>
  <c r="E33" i="46"/>
  <c r="E208" i="44" s="1"/>
  <c r="E45" i="46"/>
  <c r="E220" i="44" s="1"/>
  <c r="E40" i="46"/>
  <c r="E215" i="44" s="1"/>
  <c r="E48" i="46"/>
  <c r="E223" i="44" s="1"/>
  <c r="E38" i="46"/>
  <c r="E213" i="44" s="1"/>
  <c r="E43" i="46"/>
  <c r="E218" i="44" s="1"/>
  <c r="E22" i="46"/>
  <c r="E197" i="44" s="1"/>
  <c r="E25" i="46"/>
  <c r="E200" i="44" s="1"/>
  <c r="E47" i="46"/>
  <c r="E222" i="44" s="1"/>
  <c r="E39" i="46"/>
  <c r="E214" i="44" s="1"/>
  <c r="D30" i="46"/>
  <c r="D205" i="44" s="1"/>
  <c r="D48" i="46"/>
  <c r="D223" i="44" s="1"/>
  <c r="D36" i="46"/>
  <c r="D211" i="44" s="1"/>
  <c r="D20" i="46"/>
  <c r="D195" i="44" s="1"/>
  <c r="D35" i="46"/>
  <c r="D210" i="44" s="1"/>
  <c r="D34" i="46"/>
  <c r="D209" i="44" s="1"/>
  <c r="D41" i="46"/>
  <c r="D216" i="44" s="1"/>
  <c r="D24" i="46"/>
  <c r="D199" i="44" s="1"/>
  <c r="D42" i="46"/>
  <c r="D217" i="44" s="1"/>
  <c r="D33" i="46"/>
  <c r="D208" i="44" s="1"/>
  <c r="D27" i="46"/>
  <c r="D202" i="44" s="1"/>
  <c r="D32" i="46"/>
  <c r="D207" i="44" s="1"/>
  <c r="D37" i="46"/>
  <c r="D212" i="44" s="1"/>
  <c r="D22" i="46"/>
  <c r="D197" i="44" s="1"/>
  <c r="D28" i="46"/>
  <c r="D203" i="44" s="1"/>
  <c r="D39" i="46"/>
  <c r="D214" i="44" s="1"/>
  <c r="D23" i="46"/>
  <c r="D198" i="44" s="1"/>
  <c r="D38" i="46"/>
  <c r="D213" i="44" s="1"/>
  <c r="D43" i="46"/>
  <c r="D218" i="44" s="1"/>
  <c r="D40" i="46"/>
  <c r="D215" i="44" s="1"/>
  <c r="D21" i="46"/>
  <c r="D196" i="44" s="1"/>
  <c r="D26" i="46"/>
  <c r="D201" i="44" s="1"/>
  <c r="D29" i="46"/>
  <c r="D204" i="44" s="1"/>
  <c r="D25" i="46"/>
  <c r="D200" i="44" s="1"/>
  <c r="D31" i="46"/>
  <c r="D206" i="44" s="1"/>
  <c r="F102" i="45"/>
  <c r="G61" i="45"/>
  <c r="F109" i="45"/>
  <c r="F73" i="45"/>
  <c r="F78" i="45"/>
  <c r="F74" i="45"/>
  <c r="F96" i="45"/>
  <c r="F119" i="45"/>
  <c r="F82" i="45"/>
  <c r="N62" i="45"/>
  <c r="F95" i="45"/>
  <c r="F89" i="45"/>
  <c r="G51" i="45"/>
  <c r="F75" i="45"/>
  <c r="F116" i="45"/>
  <c r="F137" i="45"/>
  <c r="F86" i="45"/>
  <c r="F106" i="45"/>
  <c r="F87" i="45"/>
  <c r="F133" i="45"/>
  <c r="F132" i="45"/>
  <c r="F111" i="45"/>
  <c r="F83" i="45"/>
  <c r="F108" i="45"/>
  <c r="F115" i="45"/>
  <c r="F97" i="45"/>
  <c r="F113" i="45"/>
  <c r="F112" i="45"/>
  <c r="G54" i="45"/>
  <c r="F92" i="45"/>
  <c r="F76" i="45"/>
  <c r="F114" i="45"/>
  <c r="K113" i="45"/>
  <c r="K84" i="45"/>
  <c r="K104" i="45"/>
  <c r="F131" i="45"/>
  <c r="F153" i="45"/>
  <c r="K83" i="45"/>
  <c r="K131" i="45"/>
  <c r="F159" i="45"/>
  <c r="F166" i="45"/>
  <c r="K130" i="45"/>
  <c r="F125" i="45"/>
  <c r="F127" i="45"/>
  <c r="F160" i="45"/>
  <c r="N63" i="45"/>
  <c r="F163" i="45"/>
  <c r="F161" i="45"/>
  <c r="F134" i="45"/>
  <c r="N64" i="45"/>
  <c r="F148" i="45"/>
  <c r="F156" i="45"/>
  <c r="K171" i="45"/>
  <c r="F135" i="45"/>
  <c r="F155" i="45"/>
  <c r="F158" i="45"/>
  <c r="K117" i="45"/>
  <c r="K95" i="45"/>
  <c r="F149" i="45"/>
  <c r="K160" i="45"/>
  <c r="K151" i="45"/>
  <c r="K119" i="45"/>
  <c r="K118" i="45"/>
  <c r="F136" i="45"/>
  <c r="K80" i="45"/>
  <c r="N61" i="45"/>
  <c r="K78" i="45"/>
  <c r="F164" i="45"/>
  <c r="N59" i="45"/>
  <c r="K96" i="45"/>
  <c r="F168" i="45"/>
  <c r="F157" i="45"/>
  <c r="K146" i="45"/>
  <c r="F128" i="45"/>
  <c r="F139" i="45"/>
  <c r="K91" i="45"/>
  <c r="F171" i="45"/>
  <c r="K112" i="45"/>
  <c r="E73" i="45"/>
  <c r="E98" i="45"/>
  <c r="E99" i="45"/>
  <c r="E97" i="45"/>
  <c r="N60" i="45"/>
  <c r="F64" i="45"/>
  <c r="F53" i="45"/>
  <c r="F60" i="45"/>
  <c r="F63" i="45"/>
  <c r="F62" i="45"/>
  <c r="F54" i="45"/>
  <c r="F51" i="45"/>
  <c r="F61" i="45"/>
  <c r="F50" i="45"/>
  <c r="F55" i="45"/>
  <c r="AD79" i="27"/>
  <c r="AD52" i="27"/>
  <c r="AE52" i="27" s="1"/>
  <c r="AD77" i="27"/>
  <c r="AE77" i="27" s="1"/>
  <c r="AD46" i="27"/>
  <c r="AE46" i="27" s="1"/>
  <c r="AD76" i="27"/>
  <c r="AE76" i="27" s="1"/>
  <c r="AD97" i="27"/>
  <c r="AE97" i="27" s="1"/>
  <c r="AD54" i="27"/>
  <c r="AE54" i="27" s="1"/>
  <c r="AD74" i="27"/>
  <c r="AE74" i="27" s="1"/>
  <c r="AD73" i="27"/>
  <c r="AD94" i="27"/>
  <c r="AE94" i="27" s="1"/>
  <c r="AD93" i="27"/>
  <c r="AE93" i="27" s="1"/>
  <c r="AD56" i="27"/>
  <c r="AE56" i="27" s="1"/>
  <c r="AD53" i="27"/>
  <c r="AE53" i="27" s="1"/>
  <c r="AD90" i="27"/>
  <c r="AD67" i="27"/>
  <c r="AE67" i="27" s="1"/>
  <c r="AD88" i="27"/>
  <c r="AD87" i="27"/>
  <c r="AD39" i="27"/>
  <c r="AE39" i="27" s="1"/>
  <c r="AD37" i="27"/>
  <c r="AE37" i="27" s="1"/>
  <c r="AD83" i="27"/>
  <c r="AD58" i="27"/>
  <c r="AE58" i="27" s="1"/>
  <c r="AD55" i="27"/>
  <c r="AE55" i="27" s="1"/>
  <c r="AD100" i="27"/>
  <c r="AE100" i="27" s="1"/>
  <c r="AD78" i="27"/>
  <c r="AE78" i="27" s="1"/>
  <c r="AD49" i="27"/>
  <c r="AE49" i="27" s="1"/>
  <c r="AD99" i="27"/>
  <c r="AE99" i="27" s="1"/>
  <c r="AD98" i="27"/>
  <c r="AE98" i="27" s="1"/>
  <c r="AD57" i="27"/>
  <c r="AD75" i="27"/>
  <c r="AE75" i="27" s="1"/>
  <c r="AD96" i="27"/>
  <c r="AE96" i="27" s="1"/>
  <c r="AD51" i="27"/>
  <c r="AE51" i="27" s="1"/>
  <c r="AD95" i="27"/>
  <c r="AE95" i="27" s="1"/>
  <c r="AD48" i="27"/>
  <c r="AE48" i="27" s="1"/>
  <c r="AD72" i="27"/>
  <c r="AD45" i="27"/>
  <c r="AD71" i="27"/>
  <c r="AD91" i="27"/>
  <c r="AE91" i="27" s="1"/>
  <c r="AD68" i="27"/>
  <c r="AE68" i="27" s="1"/>
  <c r="AD50" i="27"/>
  <c r="AD47" i="27"/>
  <c r="AE47" i="27" s="1"/>
  <c r="AD66" i="27"/>
  <c r="AE66" i="27" s="1"/>
  <c r="AD65" i="27"/>
  <c r="AE65" i="27" s="1"/>
  <c r="AD38" i="27"/>
  <c r="AE38" i="27" s="1"/>
  <c r="AD63" i="27"/>
  <c r="AE63" i="27" s="1"/>
  <c r="AD36" i="27"/>
  <c r="AE36" i="27" s="1"/>
  <c r="AD35" i="27"/>
  <c r="AE35" i="27" s="1"/>
  <c r="AD34" i="27"/>
  <c r="AD70" i="27"/>
  <c r="AE70" i="27" s="1"/>
  <c r="AE44" i="27"/>
  <c r="AD86" i="27"/>
  <c r="AE86" i="27" s="1"/>
  <c r="AD84" i="27"/>
  <c r="AD82" i="27"/>
  <c r="AE82" i="27" s="1"/>
  <c r="AD89" i="27"/>
  <c r="AE89" i="27" s="1"/>
  <c r="AD64" i="27"/>
  <c r="AE64" i="27" s="1"/>
  <c r="AD85" i="27"/>
  <c r="AD62" i="27"/>
  <c r="AE62" i="27" s="1"/>
  <c r="AD61" i="27"/>
  <c r="AD80" i="27"/>
  <c r="AE80" i="27" s="1"/>
  <c r="E44" i="44"/>
  <c r="E43" i="44"/>
  <c r="E63" i="27" a="1"/>
  <c r="F82" i="27" a="1"/>
  <c r="E95" i="27" a="1"/>
  <c r="F66" i="27" a="1"/>
  <c r="F73" i="27" a="1"/>
  <c r="E88" i="27" a="1"/>
  <c r="E76" i="27" a="1"/>
  <c r="G48" i="27" a="1"/>
  <c r="G53" i="27" a="1"/>
  <c r="Q48" i="27" a="1"/>
  <c r="G93" i="27" a="1"/>
  <c r="G58" i="27" a="1"/>
  <c r="G77" i="27" a="1"/>
  <c r="Q50" i="27" a="1"/>
  <c r="G52" i="27" a="1"/>
  <c r="G55" i="27" a="1"/>
  <c r="F62" i="27" a="1"/>
  <c r="Q44" i="27" a="1"/>
  <c r="F54" i="27" a="1"/>
  <c r="G89" i="27" a="1"/>
  <c r="E53" i="27" a="1"/>
  <c r="F90" i="27" a="1"/>
  <c r="F94" i="27" a="1"/>
  <c r="F55" i="27" a="1"/>
  <c r="F46" i="27" a="1"/>
  <c r="Q53" i="27" a="1"/>
  <c r="E71" i="27" a="1"/>
  <c r="G96" i="27" a="1"/>
  <c r="F87" i="27" a="1"/>
  <c r="E89" i="27" a="1"/>
  <c r="E64" i="27" a="1"/>
  <c r="E96" i="27" a="1"/>
  <c r="E45" i="27" a="1"/>
  <c r="G51" i="27" a="1"/>
  <c r="F77" i="27" a="1"/>
  <c r="E48" i="27" a="1"/>
  <c r="F58" i="27" a="1"/>
  <c r="F86" i="27" a="1"/>
  <c r="G44" i="27" a="1"/>
  <c r="E58" i="27" a="1"/>
  <c r="E97" i="27" a="1"/>
  <c r="F85" i="27" a="1"/>
  <c r="E90" i="27" a="1"/>
  <c r="F67" i="27" a="1"/>
  <c r="E46" i="27" a="1"/>
  <c r="E55" i="27" a="1"/>
  <c r="E77" i="27" a="1"/>
  <c r="G75" i="27" a="1"/>
  <c r="G54" i="27" a="1"/>
  <c r="F98" i="27" a="1"/>
  <c r="F99" i="27" a="1"/>
  <c r="E86" i="27" a="1"/>
  <c r="E94" i="27" a="1"/>
  <c r="E66" i="27" a="1"/>
  <c r="F97" i="27" a="1"/>
  <c r="E78" i="27" a="1"/>
  <c r="E50" i="27" a="1"/>
  <c r="F48" i="27" a="1"/>
  <c r="F95" i="27" a="1"/>
  <c r="F50" i="27" a="1"/>
  <c r="G56" i="27" a="1"/>
  <c r="F45" i="27" a="1"/>
  <c r="F96" i="27" a="1"/>
  <c r="F88" i="27" a="1"/>
  <c r="G78" i="27" a="1"/>
  <c r="F49" i="27" a="1"/>
  <c r="E44" i="27" a="1"/>
  <c r="E51" i="27" a="1"/>
  <c r="G70" i="27" a="1"/>
  <c r="E70" i="27" a="1"/>
  <c r="G86" i="27" a="1"/>
  <c r="F79" i="27" a="1"/>
  <c r="E54" i="27" a="1"/>
  <c r="F47" i="27" a="1"/>
  <c r="F74" i="27" a="1"/>
  <c r="F56" i="27" a="1"/>
  <c r="G74" i="27" a="1"/>
  <c r="F72" i="27" a="1"/>
  <c r="G49" i="27" a="1"/>
  <c r="E57" i="27" a="1"/>
  <c r="G82" i="27" a="1"/>
  <c r="E65" i="27" a="1"/>
  <c r="E74" i="27" a="1"/>
  <c r="E49" i="27" a="1"/>
  <c r="G76" i="27" a="1"/>
  <c r="E93" i="27" a="1"/>
  <c r="F76" i="27" a="1"/>
  <c r="E52" i="27" a="1"/>
  <c r="G46" i="27" a="1"/>
  <c r="Q56" i="27" a="1"/>
  <c r="Q51" i="27" a="1"/>
  <c r="F53" i="27" a="1"/>
  <c r="F65" i="27" a="1"/>
  <c r="E85" i="27" a="1"/>
  <c r="F63" i="27" a="1"/>
  <c r="E82" i="27" a="1"/>
  <c r="F57" i="27" a="1"/>
  <c r="E79" i="27" a="1"/>
  <c r="F71" i="27" a="1"/>
  <c r="F52" i="27" a="1"/>
  <c r="Q49" i="27" a="1"/>
  <c r="G94" i="27" a="1"/>
  <c r="F93" i="27" a="1"/>
  <c r="F51" i="27" a="1"/>
  <c r="G97" i="27" a="1"/>
  <c r="F83" i="27" a="1"/>
  <c r="Q58" i="27" a="1"/>
  <c r="Q46" i="27" a="1"/>
  <c r="F64" i="27" a="1"/>
  <c r="E62" i="27" a="1"/>
  <c r="G95" i="27" a="1"/>
  <c r="E56" i="27" a="1"/>
  <c r="F75" i="27" a="1"/>
  <c r="Q52" i="27" a="1"/>
  <c r="Q57" i="27" a="1"/>
  <c r="F84" i="27" a="1"/>
  <c r="F70" i="27" a="1"/>
  <c r="Q54" i="27" a="1"/>
  <c r="F44" i="27" a="1"/>
  <c r="Q55" i="27" a="1"/>
  <c r="E67" i="27" a="1"/>
  <c r="Q45" i="27" a="1"/>
  <c r="E61" i="27" a="1"/>
  <c r="F89" i="27" a="1"/>
  <c r="E87" i="27" a="1"/>
  <c r="F78" i="27" a="1"/>
  <c r="F91" i="27" a="1"/>
  <c r="E75" i="27" a="1"/>
  <c r="M194" i="44" l="1" a="1"/>
  <c r="D48" i="44" s="1"/>
  <c r="AE34" i="27"/>
  <c r="F84" i="27"/>
  <c r="F93" i="27"/>
  <c r="E93" i="27"/>
  <c r="E75" i="27"/>
  <c r="F75" i="27"/>
  <c r="F57" i="27"/>
  <c r="E57" i="27"/>
  <c r="Q57" i="27"/>
  <c r="F98" i="27"/>
  <c r="F54" i="27"/>
  <c r="E54" i="27"/>
  <c r="Q54" i="27"/>
  <c r="F83" i="27"/>
  <c r="F50" i="27"/>
  <c r="E50" i="27"/>
  <c r="Q50" i="27"/>
  <c r="E61" i="27"/>
  <c r="E88" i="27"/>
  <c r="F88" i="27"/>
  <c r="F53" i="27"/>
  <c r="E53" i="27"/>
  <c r="Q53" i="27"/>
  <c r="E82" i="27"/>
  <c r="F82" i="27"/>
  <c r="F96" i="27"/>
  <c r="E96" i="27"/>
  <c r="F73" i="27"/>
  <c r="E74" i="27"/>
  <c r="F74" i="27"/>
  <c r="F97" i="27"/>
  <c r="E97" i="27"/>
  <c r="E76" i="27"/>
  <c r="F76" i="27"/>
  <c r="F63" i="27"/>
  <c r="E63" i="27"/>
  <c r="E78" i="27"/>
  <c r="F78" i="27"/>
  <c r="F46" i="27"/>
  <c r="E46" i="27"/>
  <c r="Q46" i="27"/>
  <c r="F47" i="27"/>
  <c r="F91" i="27"/>
  <c r="F45" i="27"/>
  <c r="E45" i="27"/>
  <c r="Q45" i="27"/>
  <c r="F72" i="27"/>
  <c r="E89" i="27"/>
  <c r="F89" i="27"/>
  <c r="F95" i="27"/>
  <c r="E95" i="27"/>
  <c r="F51" i="27"/>
  <c r="E51" i="27"/>
  <c r="Q51" i="27"/>
  <c r="E86" i="27"/>
  <c r="F86" i="27"/>
  <c r="F99" i="27"/>
  <c r="F49" i="27"/>
  <c r="E49" i="27"/>
  <c r="Q49" i="27"/>
  <c r="E77" i="27"/>
  <c r="F77" i="27"/>
  <c r="F71" i="27"/>
  <c r="E71" i="27"/>
  <c r="E85" i="27"/>
  <c r="F85" i="27"/>
  <c r="E90" i="27"/>
  <c r="F90" i="27"/>
  <c r="F48" i="27"/>
  <c r="E48" i="27"/>
  <c r="Q48" i="27"/>
  <c r="F56" i="27"/>
  <c r="E56" i="27"/>
  <c r="Q56" i="27"/>
  <c r="F94" i="27"/>
  <c r="E94" i="27"/>
  <c r="E70" i="27"/>
  <c r="F70" i="27"/>
  <c r="F65" i="27"/>
  <c r="E65" i="27"/>
  <c r="F55" i="27"/>
  <c r="E55" i="27"/>
  <c r="Q55" i="27"/>
  <c r="F52" i="27"/>
  <c r="E52" i="27"/>
  <c r="Q52" i="27"/>
  <c r="E87" i="27"/>
  <c r="F87" i="27"/>
  <c r="F62" i="27"/>
  <c r="E62" i="27"/>
  <c r="F67" i="27"/>
  <c r="E67" i="27"/>
  <c r="F64" i="27"/>
  <c r="E64" i="27"/>
  <c r="F44" i="27"/>
  <c r="E44" i="27"/>
  <c r="Q44" i="27"/>
  <c r="F66" i="27"/>
  <c r="E66" i="27"/>
  <c r="F58" i="27"/>
  <c r="E58" i="27"/>
  <c r="Q58" i="27"/>
  <c r="E79" i="27"/>
  <c r="F79" i="27"/>
  <c r="AE84" i="27"/>
  <c r="AE88" i="27"/>
  <c r="AE57" i="27"/>
  <c r="AE50" i="27"/>
  <c r="AE45" i="27"/>
  <c r="AE72" i="27"/>
  <c r="AE73" i="27"/>
  <c r="AE83" i="27"/>
  <c r="AE71" i="27"/>
  <c r="AE85" i="27"/>
  <c r="AE90" i="27"/>
  <c r="AE87" i="27"/>
  <c r="AE61" i="27"/>
  <c r="AE79" i="27"/>
  <c r="G86" i="27"/>
  <c r="G89" i="27"/>
  <c r="G75" i="27"/>
  <c r="G77" i="27"/>
  <c r="G82" i="27"/>
  <c r="G78" i="27"/>
  <c r="G76" i="27"/>
  <c r="G70" i="27"/>
  <c r="G74" i="27"/>
  <c r="G94" i="27"/>
  <c r="G93" i="27"/>
  <c r="G95" i="27"/>
  <c r="G96" i="27"/>
  <c r="G97" i="27"/>
  <c r="G58" i="27"/>
  <c r="G52" i="27"/>
  <c r="G55" i="27"/>
  <c r="G49" i="27"/>
  <c r="G46" i="27"/>
  <c r="G48" i="27"/>
  <c r="G51" i="27"/>
  <c r="G56" i="27"/>
  <c r="G44" i="27"/>
  <c r="G53" i="27"/>
  <c r="G54" i="27"/>
  <c r="G87" i="27" a="1"/>
  <c r="G73" i="27" a="1"/>
  <c r="G50" i="27" a="1"/>
  <c r="G71" i="27" a="1"/>
  <c r="G90" i="27" a="1"/>
  <c r="G84" i="27" a="1"/>
  <c r="G88" i="27" a="1"/>
  <c r="G79" i="27" a="1"/>
  <c r="G45" i="27" a="1"/>
  <c r="G85" i="27" a="1"/>
  <c r="G57" i="27" a="1"/>
  <c r="M194" i="44" l="1"/>
  <c r="C48" i="44"/>
  <c r="G87" i="27"/>
  <c r="G90" i="27"/>
  <c r="G85" i="27"/>
  <c r="G71" i="27"/>
  <c r="G73" i="27"/>
  <c r="G50" i="27"/>
  <c r="G57" i="27"/>
  <c r="G88" i="27"/>
  <c r="G45" i="27"/>
  <c r="G84" i="27"/>
  <c r="G79" i="27"/>
  <c r="J6" i="38" l="1"/>
  <c r="A22" i="44"/>
  <c r="A21" i="44"/>
  <c r="A20" i="44"/>
  <c r="A19" i="44"/>
  <c r="A18" i="44"/>
  <c r="A17" i="44"/>
  <c r="A16" i="44"/>
  <c r="A15" i="44"/>
  <c r="A14" i="44"/>
  <c r="A13" i="44"/>
  <c r="A12" i="44"/>
  <c r="A11" i="44"/>
  <c r="A10" i="44"/>
  <c r="A9" i="44"/>
  <c r="A8" i="44"/>
  <c r="A7" i="44"/>
  <c r="A6" i="44"/>
  <c r="A5" i="44"/>
  <c r="A4" i="44"/>
  <c r="A3" i="44"/>
  <c r="AT45" i="43"/>
  <c r="AR45" i="43"/>
  <c r="AD45" i="43"/>
  <c r="AB45" i="43"/>
  <c r="Z45" i="43"/>
  <c r="X45" i="43"/>
  <c r="R45" i="43"/>
  <c r="P45" i="43"/>
  <c r="N45" i="43"/>
  <c r="L45" i="43"/>
  <c r="J45" i="43"/>
  <c r="H45" i="43"/>
  <c r="F45" i="43"/>
  <c r="D45" i="43"/>
  <c r="AT44" i="43"/>
  <c r="AR44" i="43"/>
  <c r="AD44" i="43"/>
  <c r="AB44" i="43"/>
  <c r="Z44" i="43"/>
  <c r="X44" i="43"/>
  <c r="R44" i="43"/>
  <c r="P44" i="43"/>
  <c r="N44" i="43"/>
  <c r="L44" i="43"/>
  <c r="J44" i="43"/>
  <c r="H44" i="43"/>
  <c r="F44" i="43"/>
  <c r="AT43" i="43"/>
  <c r="AR43" i="43"/>
  <c r="AD43" i="43"/>
  <c r="AB43" i="43"/>
  <c r="Z43" i="43"/>
  <c r="X43" i="43"/>
  <c r="R43" i="43"/>
  <c r="P43" i="43"/>
  <c r="N43" i="43"/>
  <c r="L43" i="43"/>
  <c r="J43" i="43"/>
  <c r="H43" i="43"/>
  <c r="F43" i="43"/>
  <c r="D43" i="43"/>
  <c r="AU42" i="43"/>
  <c r="AS42" i="43"/>
  <c r="AV42" i="43" s="1"/>
  <c r="AQ42" i="43"/>
  <c r="AX42" i="43" s="1"/>
  <c r="AO42" i="43"/>
  <c r="AM42" i="43"/>
  <c r="AK42" i="43"/>
  <c r="AE42" i="43"/>
  <c r="AC42" i="43"/>
  <c r="AA42" i="43"/>
  <c r="AH42" i="43" s="1"/>
  <c r="Y42" i="43"/>
  <c r="AF42" i="43" s="1"/>
  <c r="S42" i="43"/>
  <c r="Q42" i="43"/>
  <c r="O42" i="43"/>
  <c r="M42" i="43"/>
  <c r="T42" i="43" s="1"/>
  <c r="K42" i="43"/>
  <c r="G42" i="43"/>
  <c r="E42" i="43"/>
  <c r="AU41" i="43"/>
  <c r="AS41" i="43"/>
  <c r="AQ41" i="43"/>
  <c r="AO41" i="43"/>
  <c r="AV41" i="43" s="1"/>
  <c r="AM41" i="43"/>
  <c r="AX41" i="43" s="1"/>
  <c r="AK41" i="43"/>
  <c r="AE41" i="43"/>
  <c r="AC41" i="43"/>
  <c r="AA41" i="43"/>
  <c r="AH41" i="43" s="1"/>
  <c r="Y41" i="43"/>
  <c r="AF41" i="43" s="1"/>
  <c r="S41" i="43"/>
  <c r="Q41" i="43"/>
  <c r="O41" i="43"/>
  <c r="M41" i="43"/>
  <c r="T41" i="43" s="1"/>
  <c r="K41" i="43"/>
  <c r="V41" i="43" s="1"/>
  <c r="G41" i="43"/>
  <c r="E41" i="43"/>
  <c r="AV40" i="43"/>
  <c r="AU40" i="43"/>
  <c r="AS40" i="43"/>
  <c r="AQ40" i="43"/>
  <c r="AO40" i="43"/>
  <c r="AM40" i="43"/>
  <c r="AX40" i="43" s="1"/>
  <c r="AK40" i="43"/>
  <c r="AF40" i="43"/>
  <c r="AE40" i="43"/>
  <c r="AH40" i="43" s="1"/>
  <c r="AC40" i="43"/>
  <c r="AA40" i="43"/>
  <c r="Y40" i="43"/>
  <c r="S40" i="43"/>
  <c r="Q40" i="43"/>
  <c r="O40" i="43"/>
  <c r="M40" i="43"/>
  <c r="K40" i="43"/>
  <c r="G40" i="43"/>
  <c r="V40" i="43" s="1"/>
  <c r="E40" i="43"/>
  <c r="T40" i="43" s="1"/>
  <c r="AU39" i="43"/>
  <c r="AS39" i="43"/>
  <c r="AQ39" i="43"/>
  <c r="AO39" i="43"/>
  <c r="AM39" i="43"/>
  <c r="AX39" i="43" s="1"/>
  <c r="AK39" i="43"/>
  <c r="AV39" i="43" s="1"/>
  <c r="AE39" i="43"/>
  <c r="AC39" i="43"/>
  <c r="AA39" i="43"/>
  <c r="AH39" i="43" s="1"/>
  <c r="Y39" i="43"/>
  <c r="AF39" i="43" s="1"/>
  <c r="S39" i="43"/>
  <c r="Q39" i="43"/>
  <c r="O39" i="43"/>
  <c r="M39" i="43"/>
  <c r="K39" i="43"/>
  <c r="G39" i="43"/>
  <c r="V39" i="43" s="1"/>
  <c r="E39" i="43"/>
  <c r="T39" i="43" s="1"/>
  <c r="AX38" i="43"/>
  <c r="AU38" i="43"/>
  <c r="AS38" i="43"/>
  <c r="AQ38" i="43"/>
  <c r="AO38" i="43"/>
  <c r="AM38" i="43"/>
  <c r="AK38" i="43"/>
  <c r="AV38" i="43" s="1"/>
  <c r="AH38" i="43"/>
  <c r="AE38" i="43"/>
  <c r="AC38" i="43"/>
  <c r="AA38" i="43"/>
  <c r="Y38" i="43"/>
  <c r="AF38" i="43" s="1"/>
  <c r="V38" i="43"/>
  <c r="T38" i="43"/>
  <c r="S38" i="43"/>
  <c r="Q38" i="43"/>
  <c r="O38" i="43"/>
  <c r="M38" i="43"/>
  <c r="K38" i="43"/>
  <c r="G38" i="43"/>
  <c r="E38" i="43"/>
  <c r="AU37" i="43"/>
  <c r="AS37" i="43"/>
  <c r="AV37" i="43" s="1"/>
  <c r="AQ37" i="43"/>
  <c r="AX37" i="43" s="1"/>
  <c r="AO37" i="43"/>
  <c r="AM37" i="43"/>
  <c r="AK37" i="43"/>
  <c r="AE37" i="43"/>
  <c r="AC37" i="43"/>
  <c r="AA37" i="43"/>
  <c r="AH37" i="43" s="1"/>
  <c r="Y37" i="43"/>
  <c r="T37" i="43"/>
  <c r="S37" i="43"/>
  <c r="Q37" i="43"/>
  <c r="O37" i="43"/>
  <c r="M37" i="43"/>
  <c r="K37" i="43"/>
  <c r="V37" i="43" s="1"/>
  <c r="G37" i="43"/>
  <c r="E37" i="43"/>
  <c r="AU36" i="43"/>
  <c r="AS36" i="43"/>
  <c r="AV36" i="43" s="1"/>
  <c r="AQ36" i="43"/>
  <c r="AX36" i="43" s="1"/>
  <c r="AO36" i="43"/>
  <c r="AM36" i="43"/>
  <c r="AK36" i="43"/>
  <c r="AE36" i="43"/>
  <c r="AC36" i="43"/>
  <c r="AF36" i="43" s="1"/>
  <c r="AA36" i="43"/>
  <c r="AH36" i="43" s="1"/>
  <c r="Y36" i="43"/>
  <c r="T36" i="43"/>
  <c r="S36" i="43"/>
  <c r="Q36" i="43"/>
  <c r="O36" i="43"/>
  <c r="V36" i="43" s="1"/>
  <c r="M36" i="43"/>
  <c r="K36" i="43"/>
  <c r="G36" i="43"/>
  <c r="E36" i="43"/>
  <c r="AU35" i="43"/>
  <c r="AS35" i="43"/>
  <c r="AQ35" i="43"/>
  <c r="AO35" i="43"/>
  <c r="AM35" i="43"/>
  <c r="AX35" i="43" s="1"/>
  <c r="AK35" i="43"/>
  <c r="AH35" i="43"/>
  <c r="AF35" i="43"/>
  <c r="AE35" i="43"/>
  <c r="AC35" i="43"/>
  <c r="AA35" i="43"/>
  <c r="Y35" i="43"/>
  <c r="S35" i="43"/>
  <c r="Q35" i="43"/>
  <c r="O35" i="43"/>
  <c r="M35" i="43"/>
  <c r="K35" i="43"/>
  <c r="G35" i="43"/>
  <c r="E35" i="43"/>
  <c r="AU34" i="43"/>
  <c r="AS34" i="43"/>
  <c r="AQ34" i="43"/>
  <c r="AO34" i="43"/>
  <c r="AM34" i="43"/>
  <c r="AX34" i="43" s="1"/>
  <c r="AK34" i="43"/>
  <c r="AE34" i="43"/>
  <c r="AH34" i="43" s="1"/>
  <c r="AC34" i="43"/>
  <c r="AF34" i="43" s="1"/>
  <c r="AA34" i="43"/>
  <c r="Y34" i="43"/>
  <c r="S34" i="43"/>
  <c r="Q34" i="43"/>
  <c r="O34" i="43"/>
  <c r="M34" i="43"/>
  <c r="K34" i="43"/>
  <c r="G34" i="43"/>
  <c r="V34" i="43" s="1"/>
  <c r="E34" i="43"/>
  <c r="T34" i="43" s="1"/>
  <c r="AX33" i="43"/>
  <c r="AU33" i="43"/>
  <c r="AS33" i="43"/>
  <c r="AQ33" i="43"/>
  <c r="AO33" i="43"/>
  <c r="AV33" i="43" s="1"/>
  <c r="AM33" i="43"/>
  <c r="AK33" i="43"/>
  <c r="AH33" i="43"/>
  <c r="AF33" i="43"/>
  <c r="AE33" i="43"/>
  <c r="AC33" i="43"/>
  <c r="AA33" i="43"/>
  <c r="Y33" i="43"/>
  <c r="T33" i="43"/>
  <c r="S33" i="43"/>
  <c r="V33" i="43" s="1"/>
  <c r="Q33" i="43"/>
  <c r="O33" i="43"/>
  <c r="M33" i="43"/>
  <c r="K33" i="43"/>
  <c r="G33" i="43"/>
  <c r="E33" i="43"/>
  <c r="AX32" i="43"/>
  <c r="AV32" i="43"/>
  <c r="AU32" i="43"/>
  <c r="AS32" i="43"/>
  <c r="AQ32" i="43"/>
  <c r="AO32" i="43"/>
  <c r="AM32" i="43"/>
  <c r="AK32" i="43"/>
  <c r="AE32" i="43"/>
  <c r="AC32" i="43"/>
  <c r="AA32" i="43"/>
  <c r="AH32" i="43" s="1"/>
  <c r="Y32" i="43"/>
  <c r="AF32" i="43" s="1"/>
  <c r="T32" i="43"/>
  <c r="S32" i="43"/>
  <c r="Q32" i="43"/>
  <c r="O32" i="43"/>
  <c r="M32" i="43"/>
  <c r="K32" i="43"/>
  <c r="G32" i="43"/>
  <c r="E32" i="43"/>
  <c r="AU31" i="43"/>
  <c r="AS31" i="43"/>
  <c r="AQ31" i="43"/>
  <c r="AO31" i="43"/>
  <c r="AM31" i="43"/>
  <c r="AX31" i="43" s="1"/>
  <c r="AK31" i="43"/>
  <c r="AV31" i="43" s="1"/>
  <c r="AE31" i="43"/>
  <c r="AC31" i="43"/>
  <c r="AF31" i="43" s="1"/>
  <c r="AA31" i="43"/>
  <c r="AH31" i="43" s="1"/>
  <c r="Y31" i="43"/>
  <c r="T31" i="43"/>
  <c r="S31" i="43"/>
  <c r="V31" i="43" s="1"/>
  <c r="Q31" i="43"/>
  <c r="O31" i="43"/>
  <c r="M31" i="43"/>
  <c r="K31" i="43"/>
  <c r="G31" i="43"/>
  <c r="E31" i="43"/>
  <c r="AU30" i="43"/>
  <c r="AS30" i="43"/>
  <c r="AQ30" i="43"/>
  <c r="AO30" i="43"/>
  <c r="AM30" i="43"/>
  <c r="AX30" i="43" s="1"/>
  <c r="AK30" i="43"/>
  <c r="AF30" i="43"/>
  <c r="AE30" i="43"/>
  <c r="AH30" i="43" s="1"/>
  <c r="AC30" i="43"/>
  <c r="AA30" i="43"/>
  <c r="Y30" i="43"/>
  <c r="S30" i="43"/>
  <c r="Q30" i="43"/>
  <c r="O30" i="43"/>
  <c r="M30" i="43"/>
  <c r="K30" i="43"/>
  <c r="G30" i="43"/>
  <c r="E30" i="43"/>
  <c r="AU29" i="43"/>
  <c r="AS29" i="43"/>
  <c r="AQ29" i="43"/>
  <c r="AO29" i="43"/>
  <c r="AM29" i="43"/>
  <c r="AX29" i="43" s="1"/>
  <c r="AK29" i="43"/>
  <c r="AH29" i="43"/>
  <c r="AF29" i="43"/>
  <c r="AE29" i="43"/>
  <c r="AC29" i="43"/>
  <c r="AA29" i="43"/>
  <c r="Y29" i="43"/>
  <c r="S29" i="43"/>
  <c r="Q29" i="43"/>
  <c r="O29" i="43"/>
  <c r="M29" i="43"/>
  <c r="K29" i="43"/>
  <c r="G29" i="43"/>
  <c r="V29" i="43" s="1"/>
  <c r="E29" i="43"/>
  <c r="T29" i="43" s="1"/>
  <c r="AX28" i="43"/>
  <c r="AU28" i="43"/>
  <c r="AS28" i="43"/>
  <c r="AQ28" i="43"/>
  <c r="AO28" i="43"/>
  <c r="AV28" i="43" s="1"/>
  <c r="AM28" i="43"/>
  <c r="AK28" i="43"/>
  <c r="AF28" i="43"/>
  <c r="AE28" i="43"/>
  <c r="AC28" i="43"/>
  <c r="AA28" i="43"/>
  <c r="AH28" i="43" s="1"/>
  <c r="Y28" i="43"/>
  <c r="T28" i="43"/>
  <c r="S28" i="43"/>
  <c r="V28" i="43" s="1"/>
  <c r="Q28" i="43"/>
  <c r="O28" i="43"/>
  <c r="M28" i="43"/>
  <c r="K28" i="43"/>
  <c r="G28" i="43"/>
  <c r="E28" i="43"/>
  <c r="AX27" i="43"/>
  <c r="AV27" i="43"/>
  <c r="AU27" i="43"/>
  <c r="AS27" i="43"/>
  <c r="AQ27" i="43"/>
  <c r="AO27" i="43"/>
  <c r="AM27" i="43"/>
  <c r="AK27" i="43"/>
  <c r="AE27" i="43"/>
  <c r="AC27" i="43"/>
  <c r="AA27" i="43"/>
  <c r="AH27" i="43" s="1"/>
  <c r="Y27" i="43"/>
  <c r="AF27" i="43" s="1"/>
  <c r="S27" i="43"/>
  <c r="Q27" i="43"/>
  <c r="O27" i="43"/>
  <c r="M27" i="43"/>
  <c r="T27" i="43" s="1"/>
  <c r="K27" i="43"/>
  <c r="V27" i="43" s="1"/>
  <c r="G27" i="43"/>
  <c r="E27" i="43"/>
  <c r="AU26" i="43"/>
  <c r="AS26" i="43"/>
  <c r="AQ26" i="43"/>
  <c r="AO26" i="43"/>
  <c r="AM26" i="43"/>
  <c r="AX26" i="43" s="1"/>
  <c r="AK26" i="43"/>
  <c r="AE26" i="43"/>
  <c r="AC26" i="43"/>
  <c r="AF26" i="43" s="1"/>
  <c r="AA26" i="43"/>
  <c r="AH26" i="43" s="1"/>
  <c r="Y26" i="43"/>
  <c r="S26" i="43"/>
  <c r="Q26" i="43"/>
  <c r="O26" i="43"/>
  <c r="M26" i="43"/>
  <c r="T26" i="43" s="1"/>
  <c r="K26" i="43"/>
  <c r="V26" i="43" s="1"/>
  <c r="G26" i="43"/>
  <c r="E26" i="43"/>
  <c r="AU25" i="43"/>
  <c r="AS25" i="43"/>
  <c r="AQ25" i="43"/>
  <c r="AO25" i="43"/>
  <c r="AM25" i="43"/>
  <c r="AX25" i="43" s="1"/>
  <c r="AK25" i="43"/>
  <c r="AV25" i="43" s="1"/>
  <c r="AH25" i="43"/>
  <c r="AF25" i="43"/>
  <c r="AE25" i="43"/>
  <c r="AC25" i="43"/>
  <c r="AA25" i="43"/>
  <c r="Y25" i="43"/>
  <c r="S25" i="43"/>
  <c r="Q25" i="43"/>
  <c r="O25" i="43"/>
  <c r="M25" i="43"/>
  <c r="K25" i="43"/>
  <c r="G25" i="43"/>
  <c r="V25" i="43" s="1"/>
  <c r="E25" i="43"/>
  <c r="T25" i="43" s="1"/>
  <c r="AU24" i="43"/>
  <c r="AS24" i="43"/>
  <c r="AQ24" i="43"/>
  <c r="AO24" i="43"/>
  <c r="AM24" i="43"/>
  <c r="AX24" i="43" s="1"/>
  <c r="AK24" i="43"/>
  <c r="AV24" i="43" s="1"/>
  <c r="AE24" i="43"/>
  <c r="AC24" i="43"/>
  <c r="AA24" i="43"/>
  <c r="AH24" i="43" s="1"/>
  <c r="AI24" i="43" s="1"/>
  <c r="Y24" i="43"/>
  <c r="AF24" i="43" s="1"/>
  <c r="S24" i="43"/>
  <c r="Q24" i="43"/>
  <c r="O24" i="43"/>
  <c r="M24" i="43"/>
  <c r="K24" i="43"/>
  <c r="G24" i="43"/>
  <c r="V24" i="43" s="1"/>
  <c r="E24" i="43"/>
  <c r="T24" i="43" s="1"/>
  <c r="AX23" i="43"/>
  <c r="AU23" i="43"/>
  <c r="AS23" i="43"/>
  <c r="AQ23" i="43"/>
  <c r="AO23" i="43"/>
  <c r="AV23" i="43" s="1"/>
  <c r="AM23" i="43"/>
  <c r="AK23" i="43"/>
  <c r="AF23" i="43"/>
  <c r="AE23" i="43"/>
  <c r="AH23" i="43" s="1"/>
  <c r="AC23" i="43"/>
  <c r="AA23" i="43"/>
  <c r="Y23" i="43"/>
  <c r="V23" i="43"/>
  <c r="T23" i="43"/>
  <c r="S23" i="43"/>
  <c r="Q23" i="43"/>
  <c r="O23" i="43"/>
  <c r="M23" i="43"/>
  <c r="K23" i="43"/>
  <c r="G23" i="43"/>
  <c r="E23" i="43"/>
  <c r="AU22" i="43"/>
  <c r="AS22" i="43"/>
  <c r="AV22" i="43" s="1"/>
  <c r="AQ22" i="43"/>
  <c r="AX22" i="43" s="1"/>
  <c r="AO22" i="43"/>
  <c r="AM22" i="43"/>
  <c r="AK22" i="43"/>
  <c r="AE22" i="43"/>
  <c r="AC22" i="43"/>
  <c r="AA22" i="43"/>
  <c r="AH22" i="43" s="1"/>
  <c r="Y22" i="43"/>
  <c r="T22" i="43"/>
  <c r="S22" i="43"/>
  <c r="Q22" i="43"/>
  <c r="O22" i="43"/>
  <c r="V22" i="43" s="1"/>
  <c r="M22" i="43"/>
  <c r="K22" i="43"/>
  <c r="G22" i="43"/>
  <c r="E22" i="43"/>
  <c r="AU21" i="43"/>
  <c r="AS21" i="43"/>
  <c r="AQ21" i="43"/>
  <c r="AO21" i="43"/>
  <c r="AM21" i="43"/>
  <c r="AX21" i="43" s="1"/>
  <c r="AK21" i="43"/>
  <c r="AE21" i="43"/>
  <c r="AC21" i="43"/>
  <c r="AF21" i="43" s="1"/>
  <c r="AA21" i="43"/>
  <c r="AH21" i="43" s="1"/>
  <c r="Y21" i="43"/>
  <c r="S21" i="43"/>
  <c r="Q21" i="43"/>
  <c r="O21" i="43"/>
  <c r="V21" i="43" s="1"/>
  <c r="M21" i="43"/>
  <c r="K21" i="43"/>
  <c r="G21" i="43"/>
  <c r="E21" i="43"/>
  <c r="T21" i="43" s="1"/>
  <c r="AU20" i="43"/>
  <c r="AS20" i="43"/>
  <c r="AQ20" i="43"/>
  <c r="AO20" i="43"/>
  <c r="AV20" i="43" s="1"/>
  <c r="AM20" i="43"/>
  <c r="AK20" i="43"/>
  <c r="AF20" i="43"/>
  <c r="AE20" i="43"/>
  <c r="AH20" i="43" s="1"/>
  <c r="AC20" i="43"/>
  <c r="AA20" i="43"/>
  <c r="Y20" i="43"/>
  <c r="S20" i="43"/>
  <c r="Q20" i="43"/>
  <c r="O20" i="43"/>
  <c r="M20" i="43"/>
  <c r="K20" i="43"/>
  <c r="G20" i="43"/>
  <c r="V20" i="43" s="1"/>
  <c r="E20" i="43"/>
  <c r="AU19" i="43"/>
  <c r="AS19" i="43"/>
  <c r="AQ19" i="43"/>
  <c r="AO19" i="43"/>
  <c r="AM19" i="43"/>
  <c r="AX19" i="43" s="1"/>
  <c r="AK19" i="43"/>
  <c r="AV19" i="43" s="1"/>
  <c r="AE19" i="43"/>
  <c r="AC19" i="43"/>
  <c r="AA19" i="43"/>
  <c r="AH19" i="43" s="1"/>
  <c r="Y19" i="43"/>
  <c r="AF19" i="43" s="1"/>
  <c r="S19" i="43"/>
  <c r="Q19" i="43"/>
  <c r="O19" i="43"/>
  <c r="M19" i="43"/>
  <c r="K19" i="43"/>
  <c r="G19" i="43"/>
  <c r="V19" i="43" s="1"/>
  <c r="E19" i="43"/>
  <c r="T19" i="43" s="1"/>
  <c r="AX18" i="43"/>
  <c r="AU18" i="43"/>
  <c r="AS18" i="43"/>
  <c r="AQ18" i="43"/>
  <c r="AO18" i="43"/>
  <c r="AV18" i="43" s="1"/>
  <c r="AM18" i="43"/>
  <c r="AK18" i="43"/>
  <c r="AH18" i="43"/>
  <c r="AE18" i="43"/>
  <c r="AC18" i="43"/>
  <c r="AA18" i="43"/>
  <c r="Y18" i="43"/>
  <c r="AF18" i="43" s="1"/>
  <c r="T18" i="43"/>
  <c r="S18" i="43"/>
  <c r="V18" i="43" s="1"/>
  <c r="Q18" i="43"/>
  <c r="O18" i="43"/>
  <c r="M18" i="43"/>
  <c r="K18" i="43"/>
  <c r="G18" i="43"/>
  <c r="E18" i="43"/>
  <c r="AV17" i="43"/>
  <c r="AU17" i="43"/>
  <c r="AX17" i="43" s="1"/>
  <c r="AS17" i="43"/>
  <c r="AQ17" i="43"/>
  <c r="AO17" i="43"/>
  <c r="AM17" i="43"/>
  <c r="AK17" i="43"/>
  <c r="AE17" i="43"/>
  <c r="AC17" i="43"/>
  <c r="AA17" i="43"/>
  <c r="AH17" i="43" s="1"/>
  <c r="Y17" i="43"/>
  <c r="T17" i="43"/>
  <c r="S17" i="43"/>
  <c r="V17" i="43" s="1"/>
  <c r="Q17" i="43"/>
  <c r="O17" i="43"/>
  <c r="M17" i="43"/>
  <c r="K17" i="43"/>
  <c r="G17" i="43"/>
  <c r="E17" i="43"/>
  <c r="AV16" i="43"/>
  <c r="AU16" i="43"/>
  <c r="AS16" i="43"/>
  <c r="AQ16" i="43"/>
  <c r="AO16" i="43"/>
  <c r="AM16" i="43"/>
  <c r="AK16" i="43"/>
  <c r="AE16" i="43"/>
  <c r="AC16" i="43"/>
  <c r="AF16" i="43" s="1"/>
  <c r="AA16" i="43"/>
  <c r="AH16" i="43" s="1"/>
  <c r="Y16" i="43"/>
  <c r="S16" i="43"/>
  <c r="Q16" i="43"/>
  <c r="O16" i="43"/>
  <c r="M16" i="43"/>
  <c r="K16" i="43"/>
  <c r="G16" i="43"/>
  <c r="V16" i="43" s="1"/>
  <c r="E16" i="43"/>
  <c r="T16" i="43" s="1"/>
  <c r="AU15" i="43"/>
  <c r="AS15" i="43"/>
  <c r="AV15" i="43" s="1"/>
  <c r="AQ15" i="43"/>
  <c r="AO15" i="43"/>
  <c r="AM15" i="43"/>
  <c r="AK15" i="43"/>
  <c r="AF15" i="43"/>
  <c r="AE15" i="43"/>
  <c r="AH15" i="43" s="1"/>
  <c r="AC15" i="43"/>
  <c r="AA15" i="43"/>
  <c r="Y15" i="43"/>
  <c r="S15" i="43"/>
  <c r="Q15" i="43"/>
  <c r="O15" i="43"/>
  <c r="M15" i="43"/>
  <c r="K15" i="43"/>
  <c r="G15" i="43"/>
  <c r="V15" i="43" s="1"/>
  <c r="E15" i="43"/>
  <c r="T15" i="43" s="1"/>
  <c r="AU14" i="43"/>
  <c r="AS14" i="43"/>
  <c r="AQ14" i="43"/>
  <c r="AO14" i="43"/>
  <c r="AM14" i="43"/>
  <c r="AX14" i="43" s="1"/>
  <c r="AK14" i="43"/>
  <c r="AE14" i="43"/>
  <c r="AC14" i="43"/>
  <c r="AA14" i="43"/>
  <c r="AH14" i="43" s="1"/>
  <c r="Y14" i="43"/>
  <c r="S14" i="43"/>
  <c r="Q14" i="43"/>
  <c r="O14" i="43"/>
  <c r="M14" i="43"/>
  <c r="K14" i="43"/>
  <c r="G14" i="43"/>
  <c r="V14" i="43" s="1"/>
  <c r="E14" i="43"/>
  <c r="T14" i="43" s="1"/>
  <c r="AX13" i="43"/>
  <c r="AU13" i="43"/>
  <c r="AS13" i="43"/>
  <c r="AQ13" i="43"/>
  <c r="AO13" i="43"/>
  <c r="AV13" i="43" s="1"/>
  <c r="AM13" i="43"/>
  <c r="AK13" i="43"/>
  <c r="AE13" i="43"/>
  <c r="AC13" i="43"/>
  <c r="AF13" i="43" s="1"/>
  <c r="AA13" i="43"/>
  <c r="AH13" i="43" s="1"/>
  <c r="Y13" i="43"/>
  <c r="T13" i="43"/>
  <c r="S13" i="43"/>
  <c r="V13" i="43" s="1"/>
  <c r="Q13" i="43"/>
  <c r="O13" i="43"/>
  <c r="M13" i="43"/>
  <c r="K13" i="43"/>
  <c r="G13" i="43"/>
  <c r="E13" i="43"/>
  <c r="BD7" i="43"/>
  <c r="BB7" i="43"/>
  <c r="BA7" i="43"/>
  <c r="AZ7" i="43"/>
  <c r="AX7" i="43"/>
  <c r="AY7" i="43" s="1"/>
  <c r="AV7" i="43"/>
  <c r="AW7" i="43" s="1"/>
  <c r="AT7" i="43"/>
  <c r="AU7" i="43" s="1"/>
  <c r="AR7" i="43"/>
  <c r="AS7" i="43" s="1"/>
  <c r="AQ7" i="43"/>
  <c r="AP7" i="43"/>
  <c r="AN7" i="43"/>
  <c r="AO7" i="43" s="1"/>
  <c r="AL7" i="43"/>
  <c r="AM7" i="43" s="1"/>
  <c r="AK7" i="43"/>
  <c r="AJ7" i="43"/>
  <c r="AH7" i="43"/>
  <c r="AI7" i="43" s="1"/>
  <c r="AF7" i="43"/>
  <c r="AG7" i="43" s="1"/>
  <c r="AE7" i="43"/>
  <c r="AD7" i="43"/>
  <c r="AB7" i="43"/>
  <c r="AC7" i="43" s="1"/>
  <c r="Z7" i="43"/>
  <c r="AA7" i="43" s="1"/>
  <c r="Y7" i="43"/>
  <c r="X7" i="43"/>
  <c r="W7" i="43"/>
  <c r="V7" i="43"/>
  <c r="T7" i="43"/>
  <c r="U7" i="43" s="1"/>
  <c r="R7" i="43"/>
  <c r="S7" i="43" s="1"/>
  <c r="Q7" i="43"/>
  <c r="P7" i="43"/>
  <c r="N7" i="43"/>
  <c r="O7" i="43" s="1"/>
  <c r="L7" i="43"/>
  <c r="M7" i="43" s="1"/>
  <c r="J7" i="43"/>
  <c r="K7" i="43" s="1"/>
  <c r="H7" i="43"/>
  <c r="I7" i="43" s="1"/>
  <c r="G7" i="43"/>
  <c r="F7" i="43"/>
  <c r="D7" i="43"/>
  <c r="BD6" i="43"/>
  <c r="BC6" i="43"/>
  <c r="BB6" i="43"/>
  <c r="BA6" i="43"/>
  <c r="AZ6" i="43"/>
  <c r="AY6" i="43"/>
  <c r="AY3" i="43" s="1"/>
  <c r="AX6" i="43"/>
  <c r="AW6" i="43"/>
  <c r="AV6" i="43"/>
  <c r="AU6" i="43"/>
  <c r="AU3" i="43" s="1"/>
  <c r="AT6" i="43"/>
  <c r="AS6" i="43"/>
  <c r="AR6" i="43"/>
  <c r="AR3" i="43" s="1"/>
  <c r="AQ6" i="43"/>
  <c r="AP6" i="43"/>
  <c r="AO6" i="43"/>
  <c r="AN6" i="43"/>
  <c r="AM6" i="43"/>
  <c r="AL6" i="43"/>
  <c r="AK6" i="43"/>
  <c r="AJ6" i="43"/>
  <c r="AJ3" i="43" s="1"/>
  <c r="AI6" i="43"/>
  <c r="AH6" i="43"/>
  <c r="AG6" i="43"/>
  <c r="AF6" i="43"/>
  <c r="AE6" i="43"/>
  <c r="AE3" i="43" s="1"/>
  <c r="AD6" i="43"/>
  <c r="AC6" i="43"/>
  <c r="AB6" i="43"/>
  <c r="AA6" i="43"/>
  <c r="AA3" i="43" s="1"/>
  <c r="Z6" i="43"/>
  <c r="Z3" i="43" s="1"/>
  <c r="Y6" i="43"/>
  <c r="Y3" i="43" s="1"/>
  <c r="X6" i="43"/>
  <c r="X3" i="43" s="1"/>
  <c r="W6" i="43"/>
  <c r="W3" i="43" s="1"/>
  <c r="V6" i="43"/>
  <c r="U6" i="43"/>
  <c r="T6" i="43"/>
  <c r="S6" i="43"/>
  <c r="R6" i="43"/>
  <c r="R3" i="43" s="1"/>
  <c r="Q6" i="43"/>
  <c r="P6" i="43"/>
  <c r="O6" i="43"/>
  <c r="N6" i="43"/>
  <c r="M6" i="43"/>
  <c r="L6" i="43"/>
  <c r="K6" i="43"/>
  <c r="K3" i="43" s="1"/>
  <c r="J6" i="43"/>
  <c r="I6" i="43"/>
  <c r="H6" i="43"/>
  <c r="G6" i="43"/>
  <c r="G3" i="43" s="1"/>
  <c r="F6" i="43"/>
  <c r="E6" i="43"/>
  <c r="E3" i="43" s="1"/>
  <c r="D6" i="43"/>
  <c r="AW5" i="43"/>
  <c r="AX5" i="43" s="1"/>
  <c r="AY5" i="43" s="1"/>
  <c r="AZ5" i="43" s="1"/>
  <c r="BA5" i="43" s="1"/>
  <c r="BB5" i="43" s="1"/>
  <c r="BC5" i="43" s="1"/>
  <c r="BD5" i="43" s="1"/>
  <c r="AV5" i="43"/>
  <c r="AR5" i="43"/>
  <c r="AS5" i="43" s="1"/>
  <c r="AT5" i="43" s="1"/>
  <c r="AU5" i="43" s="1"/>
  <c r="AN5" i="43"/>
  <c r="AO5" i="43" s="1"/>
  <c r="AP5" i="43" s="1"/>
  <c r="AQ5" i="43" s="1"/>
  <c r="AL5" i="43"/>
  <c r="AM5" i="43" s="1"/>
  <c r="AJ5" i="43"/>
  <c r="AK5" i="43" s="1"/>
  <c r="AF5" i="43"/>
  <c r="AG5" i="43" s="1"/>
  <c r="AH5" i="43" s="1"/>
  <c r="AI5" i="43" s="1"/>
  <c r="AD5" i="43"/>
  <c r="AE5" i="43" s="1"/>
  <c r="AC5" i="43"/>
  <c r="AB5" i="43"/>
  <c r="X5" i="43"/>
  <c r="Y5" i="43" s="1"/>
  <c r="Z5" i="43" s="1"/>
  <c r="AA5" i="43" s="1"/>
  <c r="T5" i="43"/>
  <c r="U5" i="43" s="1"/>
  <c r="V5" i="43" s="1"/>
  <c r="W5" i="43" s="1"/>
  <c r="P5" i="43"/>
  <c r="Q5" i="43" s="1"/>
  <c r="R5" i="43" s="1"/>
  <c r="S5" i="43" s="1"/>
  <c r="L5" i="43"/>
  <c r="M5" i="43" s="1"/>
  <c r="N5" i="43" s="1"/>
  <c r="O5" i="43" s="1"/>
  <c r="J5" i="43"/>
  <c r="K5" i="43" s="1"/>
  <c r="I5" i="43"/>
  <c r="H5" i="43"/>
  <c r="D5" i="43"/>
  <c r="E5" i="43" s="1"/>
  <c r="F5" i="43" s="1"/>
  <c r="G5" i="43" s="1"/>
  <c r="AZ4" i="43"/>
  <c r="BA4" i="43" s="1"/>
  <c r="BB4" i="43" s="1"/>
  <c r="BC4" i="43" s="1"/>
  <c r="BD4" i="43" s="1"/>
  <c r="AJ4" i="43"/>
  <c r="AK4" i="43" s="1"/>
  <c r="AL4" i="43" s="1"/>
  <c r="AM4" i="43" s="1"/>
  <c r="AN4" i="43" s="1"/>
  <c r="AO4" i="43" s="1"/>
  <c r="AP4" i="43" s="1"/>
  <c r="AQ4" i="43" s="1"/>
  <c r="AR4" i="43" s="1"/>
  <c r="AS4" i="43" s="1"/>
  <c r="AT4" i="43" s="1"/>
  <c r="AU4" i="43" s="1"/>
  <c r="AV4" i="43" s="1"/>
  <c r="AW4" i="43" s="1"/>
  <c r="AX4" i="43" s="1"/>
  <c r="AY4" i="43" s="1"/>
  <c r="AA4" i="43"/>
  <c r="AB4" i="43" s="1"/>
  <c r="AC4" i="43" s="1"/>
  <c r="AD4" i="43" s="1"/>
  <c r="AE4" i="43" s="1"/>
  <c r="AF4" i="43" s="1"/>
  <c r="AG4" i="43" s="1"/>
  <c r="AH4" i="43" s="1"/>
  <c r="AI4" i="43" s="1"/>
  <c r="X4" i="43"/>
  <c r="Y4" i="43" s="1"/>
  <c r="Z4" i="43" s="1"/>
  <c r="D4" i="43"/>
  <c r="E4" i="43" s="1"/>
  <c r="F4" i="43" s="1"/>
  <c r="G4" i="43" s="1"/>
  <c r="H4" i="43" s="1"/>
  <c r="I4" i="43" s="1"/>
  <c r="J4" i="43" s="1"/>
  <c r="K4" i="43" s="1"/>
  <c r="L4" i="43" s="1"/>
  <c r="M4" i="43" s="1"/>
  <c r="N4" i="43" s="1"/>
  <c r="O4" i="43" s="1"/>
  <c r="P4" i="43" s="1"/>
  <c r="Q4" i="43" s="1"/>
  <c r="R4" i="43" s="1"/>
  <c r="S4" i="43" s="1"/>
  <c r="T4" i="43" s="1"/>
  <c r="U4" i="43" s="1"/>
  <c r="V4" i="43" s="1"/>
  <c r="W4" i="43" s="1"/>
  <c r="BD3" i="43"/>
  <c r="BC3" i="43"/>
  <c r="BA3" i="43"/>
  <c r="AW3" i="43"/>
  <c r="AT3" i="43"/>
  <c r="AS3" i="43"/>
  <c r="AQ3" i="43"/>
  <c r="AO3" i="43"/>
  <c r="AM3" i="43"/>
  <c r="AK3" i="43"/>
  <c r="AI3" i="43"/>
  <c r="AG3" i="43"/>
  <c r="AC3" i="43"/>
  <c r="U3" i="43"/>
  <c r="S3" i="43"/>
  <c r="Q3" i="43"/>
  <c r="O3" i="43"/>
  <c r="M3" i="43"/>
  <c r="I3" i="43"/>
  <c r="G1" i="43" a="1"/>
  <c r="G1" i="43" s="1"/>
  <c r="AX45" i="42"/>
  <c r="AV45" i="42"/>
  <c r="AT45" i="42"/>
  <c r="AR45" i="42"/>
  <c r="AL45" i="42"/>
  <c r="AJ45" i="42"/>
  <c r="AH45" i="42"/>
  <c r="AF45" i="42"/>
  <c r="Z45" i="42"/>
  <c r="X45" i="42"/>
  <c r="V45" i="42"/>
  <c r="T45" i="42"/>
  <c r="R45" i="42"/>
  <c r="P45" i="42"/>
  <c r="N45" i="42"/>
  <c r="L45" i="42"/>
  <c r="J45" i="42"/>
  <c r="H45" i="42"/>
  <c r="F45" i="42"/>
  <c r="D45" i="42"/>
  <c r="AX44" i="42"/>
  <c r="AV44" i="42"/>
  <c r="AT44" i="42"/>
  <c r="AR44" i="42"/>
  <c r="AL44" i="42"/>
  <c r="AJ44" i="42"/>
  <c r="AH44" i="42"/>
  <c r="AF44" i="42"/>
  <c r="Z44" i="42"/>
  <c r="X44" i="42"/>
  <c r="V44" i="42"/>
  <c r="T44" i="42"/>
  <c r="R44" i="42"/>
  <c r="P44" i="42"/>
  <c r="N44" i="42"/>
  <c r="L44" i="42"/>
  <c r="J44" i="42"/>
  <c r="H44" i="42"/>
  <c r="F44" i="42"/>
  <c r="D44" i="42"/>
  <c r="AX43" i="42"/>
  <c r="AV43" i="42"/>
  <c r="AT43" i="42"/>
  <c r="AR43" i="42"/>
  <c r="AL43" i="42"/>
  <c r="AJ43" i="42"/>
  <c r="AH43" i="42"/>
  <c r="AF43" i="42"/>
  <c r="Z43" i="42"/>
  <c r="X43" i="42"/>
  <c r="V43" i="42"/>
  <c r="T43" i="42"/>
  <c r="R43" i="42"/>
  <c r="P43" i="42"/>
  <c r="N43" i="42"/>
  <c r="L43" i="42"/>
  <c r="J43" i="42"/>
  <c r="H43" i="42"/>
  <c r="F43" i="42"/>
  <c r="D43" i="42"/>
  <c r="AY42" i="42"/>
  <c r="BB42" i="42" s="1"/>
  <c r="AW42" i="42"/>
  <c r="AU42" i="42"/>
  <c r="AS42" i="42"/>
  <c r="AZ42" i="42" s="1"/>
  <c r="AM42" i="42"/>
  <c r="AK42" i="42"/>
  <c r="AI42" i="42"/>
  <c r="AP42" i="42" s="1"/>
  <c r="AG42" i="42"/>
  <c r="AN42" i="42" s="1"/>
  <c r="AA42" i="42"/>
  <c r="Y42" i="42"/>
  <c r="W42" i="42"/>
  <c r="U42" i="42"/>
  <c r="S42" i="42"/>
  <c r="Q42" i="42"/>
  <c r="O42" i="42"/>
  <c r="M42" i="42"/>
  <c r="K42" i="42"/>
  <c r="I42" i="42"/>
  <c r="AB42" i="42" s="1"/>
  <c r="G42" i="42"/>
  <c r="E42" i="42"/>
  <c r="AY41" i="42"/>
  <c r="AW41" i="42"/>
  <c r="AZ41" i="42" s="1"/>
  <c r="AU41" i="42"/>
  <c r="BB41" i="42" s="1"/>
  <c r="AS41" i="42"/>
  <c r="AM41" i="42"/>
  <c r="AP41" i="42" s="1"/>
  <c r="AK41" i="42"/>
  <c r="AN41" i="42" s="1"/>
  <c r="AI41" i="42"/>
  <c r="AG41" i="42"/>
  <c r="AA41" i="42"/>
  <c r="Y41" i="42"/>
  <c r="W41" i="42"/>
  <c r="U41" i="42"/>
  <c r="S41" i="42"/>
  <c r="Q41" i="42"/>
  <c r="O41" i="42"/>
  <c r="M41" i="42"/>
  <c r="K41" i="42"/>
  <c r="I41" i="42"/>
  <c r="G41" i="42"/>
  <c r="AD41" i="42" s="1"/>
  <c r="E41" i="42"/>
  <c r="AB41" i="42" s="1"/>
  <c r="BB40" i="42"/>
  <c r="AY40" i="42"/>
  <c r="AW40" i="42"/>
  <c r="AU40" i="42"/>
  <c r="AS40" i="42"/>
  <c r="AZ40" i="42" s="1"/>
  <c r="AM40" i="42"/>
  <c r="AK40" i="42"/>
  <c r="AI40" i="42"/>
  <c r="AP40" i="42" s="1"/>
  <c r="AG40" i="42"/>
  <c r="AN40" i="42" s="1"/>
  <c r="AD40" i="42"/>
  <c r="AA40" i="42"/>
  <c r="Y40" i="42"/>
  <c r="W40" i="42"/>
  <c r="U40" i="42"/>
  <c r="S40" i="42"/>
  <c r="Q40" i="42"/>
  <c r="O40" i="42"/>
  <c r="M40" i="42"/>
  <c r="K40" i="42"/>
  <c r="I40" i="42"/>
  <c r="G40" i="42"/>
  <c r="E40" i="42"/>
  <c r="AB40" i="42" s="1"/>
  <c r="BB39" i="42"/>
  <c r="AY39" i="42"/>
  <c r="AW39" i="42"/>
  <c r="AU39" i="42"/>
  <c r="AS39" i="42"/>
  <c r="AZ39" i="42" s="1"/>
  <c r="AM39" i="42"/>
  <c r="AK39" i="42"/>
  <c r="AI39" i="42"/>
  <c r="AP39" i="42" s="1"/>
  <c r="AG39" i="42"/>
  <c r="AN39" i="42" s="1"/>
  <c r="AA39" i="42"/>
  <c r="Y39" i="42"/>
  <c r="AB39" i="42" s="1"/>
  <c r="W39" i="42"/>
  <c r="AD39" i="42" s="1"/>
  <c r="U39" i="42"/>
  <c r="S39" i="42"/>
  <c r="Q39" i="42"/>
  <c r="O39" i="42"/>
  <c r="M39" i="42"/>
  <c r="K39" i="42"/>
  <c r="I39" i="42"/>
  <c r="G39" i="42"/>
  <c r="E39" i="42"/>
  <c r="BB38" i="42"/>
  <c r="AZ38" i="42"/>
  <c r="AY38" i="42"/>
  <c r="AW38" i="42"/>
  <c r="AU38" i="42"/>
  <c r="AS38" i="42"/>
  <c r="AM38" i="42"/>
  <c r="AK38" i="42"/>
  <c r="AI38" i="42"/>
  <c r="AP38" i="42" s="1"/>
  <c r="AG38" i="42"/>
  <c r="AN38" i="42" s="1"/>
  <c r="AB38" i="42"/>
  <c r="AA38" i="42"/>
  <c r="Y38" i="42"/>
  <c r="W38" i="42"/>
  <c r="AD38" i="42" s="1"/>
  <c r="U38" i="42"/>
  <c r="S38" i="42"/>
  <c r="Q38" i="42"/>
  <c r="O38" i="42"/>
  <c r="M38" i="42"/>
  <c r="K38" i="42"/>
  <c r="I38" i="42"/>
  <c r="G38" i="42"/>
  <c r="E38" i="42"/>
  <c r="BB37" i="42"/>
  <c r="AZ37" i="42"/>
  <c r="BA37" i="42" s="1"/>
  <c r="AY37" i="42"/>
  <c r="AW37" i="42"/>
  <c r="AU37" i="42"/>
  <c r="AS37" i="42"/>
  <c r="AM37" i="42"/>
  <c r="AK37" i="42"/>
  <c r="AI37" i="42"/>
  <c r="AP37" i="42" s="1"/>
  <c r="AG37" i="42"/>
  <c r="AB37" i="42"/>
  <c r="AA37" i="42"/>
  <c r="Y37" i="42"/>
  <c r="W37" i="42"/>
  <c r="U37" i="42"/>
  <c r="S37" i="42"/>
  <c r="AD37" i="42" s="1"/>
  <c r="Q37" i="42"/>
  <c r="O37" i="42"/>
  <c r="M37" i="42"/>
  <c r="K37" i="42"/>
  <c r="I37" i="42"/>
  <c r="G37" i="42"/>
  <c r="E37" i="42"/>
  <c r="BB36" i="42"/>
  <c r="AZ36" i="42"/>
  <c r="AY36" i="42"/>
  <c r="AW36" i="42"/>
  <c r="AU36" i="42"/>
  <c r="AS36" i="42"/>
  <c r="AM36" i="42"/>
  <c r="AK36" i="42"/>
  <c r="AI36" i="42"/>
  <c r="AP36" i="42" s="1"/>
  <c r="AG36" i="42"/>
  <c r="AN36" i="42" s="1"/>
  <c r="AD36" i="42"/>
  <c r="AB36" i="42"/>
  <c r="AA36" i="42"/>
  <c r="Y36" i="42"/>
  <c r="W36" i="42"/>
  <c r="U36" i="42"/>
  <c r="S36" i="42"/>
  <c r="Q36" i="42"/>
  <c r="O36" i="42"/>
  <c r="M36" i="42"/>
  <c r="K36" i="42"/>
  <c r="I36" i="42"/>
  <c r="G36" i="42"/>
  <c r="E36" i="42"/>
  <c r="BB35" i="42"/>
  <c r="AZ35" i="42"/>
  <c r="AY35" i="42"/>
  <c r="AW35" i="42"/>
  <c r="AU35" i="42"/>
  <c r="AS35" i="42"/>
  <c r="AM35" i="42"/>
  <c r="AP35" i="42" s="1"/>
  <c r="AK35" i="42"/>
  <c r="AI35" i="42"/>
  <c r="AG35" i="42"/>
  <c r="AN35" i="42" s="1"/>
  <c r="AA35" i="42"/>
  <c r="Y35" i="42"/>
  <c r="W35" i="42"/>
  <c r="U35" i="42"/>
  <c r="S35" i="42"/>
  <c r="AD35" i="42" s="1"/>
  <c r="Q35" i="42"/>
  <c r="AB35" i="42" s="1"/>
  <c r="O35" i="42"/>
  <c r="M35" i="42"/>
  <c r="K35" i="42"/>
  <c r="I35" i="42"/>
  <c r="G35" i="42"/>
  <c r="E35" i="42"/>
  <c r="AZ34" i="42"/>
  <c r="AY34" i="42"/>
  <c r="AW34" i="42"/>
  <c r="AU34" i="42"/>
  <c r="BB34" i="42" s="1"/>
  <c r="AS34" i="42"/>
  <c r="AM34" i="42"/>
  <c r="AP34" i="42" s="1"/>
  <c r="AK34" i="42"/>
  <c r="AN34" i="42" s="1"/>
  <c r="AI34" i="42"/>
  <c r="AG34" i="42"/>
  <c r="AA34" i="42"/>
  <c r="Y34" i="42"/>
  <c r="W34" i="42"/>
  <c r="U34" i="42"/>
  <c r="S34" i="42"/>
  <c r="Q34" i="42"/>
  <c r="O34" i="42"/>
  <c r="AD34" i="42" s="1"/>
  <c r="M34" i="42"/>
  <c r="K34" i="42"/>
  <c r="I34" i="42"/>
  <c r="G34" i="42"/>
  <c r="E34" i="42"/>
  <c r="AY33" i="42"/>
  <c r="AW33" i="42"/>
  <c r="AZ33" i="42" s="1"/>
  <c r="AU33" i="42"/>
  <c r="BB33" i="42" s="1"/>
  <c r="AS33" i="42"/>
  <c r="AM33" i="42"/>
  <c r="AK33" i="42"/>
  <c r="AN33" i="42" s="1"/>
  <c r="AI33" i="42"/>
  <c r="AP33" i="42" s="1"/>
  <c r="AG33" i="42"/>
  <c r="AA33" i="42"/>
  <c r="AD33" i="42" s="1"/>
  <c r="Y33" i="42"/>
  <c r="AB33" i="42" s="1"/>
  <c r="W33" i="42"/>
  <c r="U33" i="42"/>
  <c r="S33" i="42"/>
  <c r="Q33" i="42"/>
  <c r="O33" i="42"/>
  <c r="M33" i="42"/>
  <c r="K33" i="42"/>
  <c r="I33" i="42"/>
  <c r="G33" i="42"/>
  <c r="E33" i="42"/>
  <c r="AY32" i="42"/>
  <c r="AW32" i="42"/>
  <c r="AU32" i="42"/>
  <c r="BB32" i="42" s="1"/>
  <c r="AS32" i="42"/>
  <c r="AZ32" i="42" s="1"/>
  <c r="AP32" i="42"/>
  <c r="AM32" i="42"/>
  <c r="AK32" i="42"/>
  <c r="AI32" i="42"/>
  <c r="AG32" i="42"/>
  <c r="AN32" i="42" s="1"/>
  <c r="AA32" i="42"/>
  <c r="Y32" i="42"/>
  <c r="W32" i="42"/>
  <c r="U32" i="42"/>
  <c r="S32" i="42"/>
  <c r="Q32" i="42"/>
  <c r="O32" i="42"/>
  <c r="M32" i="42"/>
  <c r="K32" i="42"/>
  <c r="I32" i="42"/>
  <c r="G32" i="42"/>
  <c r="E32" i="42"/>
  <c r="BB31" i="42"/>
  <c r="AY31" i="42"/>
  <c r="AW31" i="42"/>
  <c r="AU31" i="42"/>
  <c r="AS31" i="42"/>
  <c r="AZ31" i="42" s="1"/>
  <c r="AP31" i="42"/>
  <c r="AM31" i="42"/>
  <c r="AK31" i="42"/>
  <c r="AI31" i="42"/>
  <c r="AG31" i="42"/>
  <c r="AN31" i="42" s="1"/>
  <c r="AA31" i="42"/>
  <c r="Y31" i="42"/>
  <c r="AB31" i="42" s="1"/>
  <c r="W31" i="42"/>
  <c r="U31" i="42"/>
  <c r="S31" i="42"/>
  <c r="Q31" i="42"/>
  <c r="O31" i="42"/>
  <c r="M31" i="42"/>
  <c r="K31" i="42"/>
  <c r="I31" i="42"/>
  <c r="G31" i="42"/>
  <c r="E31" i="42"/>
  <c r="AZ30" i="42"/>
  <c r="AY30" i="42"/>
  <c r="AW30" i="42"/>
  <c r="AU30" i="42"/>
  <c r="BB30" i="42" s="1"/>
  <c r="AS30" i="42"/>
  <c r="AP30" i="42"/>
  <c r="AN30" i="42"/>
  <c r="AM30" i="42"/>
  <c r="AK30" i="42"/>
  <c r="AI30" i="42"/>
  <c r="AG30" i="42"/>
  <c r="AA30" i="42"/>
  <c r="Y30" i="42"/>
  <c r="W30" i="42"/>
  <c r="U30" i="42"/>
  <c r="S30" i="42"/>
  <c r="Q30" i="42"/>
  <c r="O30" i="42"/>
  <c r="M30" i="42"/>
  <c r="K30" i="42"/>
  <c r="I30" i="42"/>
  <c r="G30" i="42"/>
  <c r="AD30" i="42" s="1"/>
  <c r="E30" i="42"/>
  <c r="AZ29" i="42"/>
  <c r="AY29" i="42"/>
  <c r="AW29" i="42"/>
  <c r="AU29" i="42"/>
  <c r="BB29" i="42" s="1"/>
  <c r="AS29" i="42"/>
  <c r="AN29" i="42"/>
  <c r="AM29" i="42"/>
  <c r="AP29" i="42" s="1"/>
  <c r="AK29" i="42"/>
  <c r="AI29" i="42"/>
  <c r="AG29" i="42"/>
  <c r="AA29" i="42"/>
  <c r="Y29" i="42"/>
  <c r="W29" i="42"/>
  <c r="U29" i="42"/>
  <c r="S29" i="42"/>
  <c r="Q29" i="42"/>
  <c r="O29" i="42"/>
  <c r="M29" i="42"/>
  <c r="K29" i="42"/>
  <c r="I29" i="42"/>
  <c r="G29" i="42"/>
  <c r="AD29" i="42" s="1"/>
  <c r="E29" i="42"/>
  <c r="AY28" i="42"/>
  <c r="AW28" i="42"/>
  <c r="AZ28" i="42" s="1"/>
  <c r="AU28" i="42"/>
  <c r="AS28" i="42"/>
  <c r="AM28" i="42"/>
  <c r="AP28" i="42" s="1"/>
  <c r="AK28" i="42"/>
  <c r="AN28" i="42" s="1"/>
  <c r="AI28" i="42"/>
  <c r="AG28" i="42"/>
  <c r="AA28" i="42"/>
  <c r="Y28" i="42"/>
  <c r="W28" i="42"/>
  <c r="U28" i="42"/>
  <c r="S28" i="42"/>
  <c r="Q28" i="42"/>
  <c r="O28" i="42"/>
  <c r="M28" i="42"/>
  <c r="K28" i="42"/>
  <c r="I28" i="42"/>
  <c r="G28" i="42"/>
  <c r="E28" i="42"/>
  <c r="AY27" i="42"/>
  <c r="AW27" i="42"/>
  <c r="AU27" i="42"/>
  <c r="BB27" i="42" s="1"/>
  <c r="AS27" i="42"/>
  <c r="AZ27" i="42" s="1"/>
  <c r="AN27" i="42"/>
  <c r="AM27" i="42"/>
  <c r="AP27" i="42" s="1"/>
  <c r="AK27" i="42"/>
  <c r="AI27" i="42"/>
  <c r="AG27" i="42"/>
  <c r="AA27" i="42"/>
  <c r="Y27" i="42"/>
  <c r="W27" i="42"/>
  <c r="U27" i="42"/>
  <c r="S27" i="42"/>
  <c r="Q27" i="42"/>
  <c r="O27" i="42"/>
  <c r="M27" i="42"/>
  <c r="K27" i="42"/>
  <c r="I27" i="42"/>
  <c r="G27" i="42"/>
  <c r="E27" i="42"/>
  <c r="AY26" i="42"/>
  <c r="BB26" i="42" s="1"/>
  <c r="AW26" i="42"/>
  <c r="AU26" i="42"/>
  <c r="AS26" i="42"/>
  <c r="AZ26" i="42" s="1"/>
  <c r="AM26" i="42"/>
  <c r="AK26" i="42"/>
  <c r="AI26" i="42"/>
  <c r="AP26" i="42" s="1"/>
  <c r="AG26" i="42"/>
  <c r="AN26" i="42" s="1"/>
  <c r="AA26" i="42"/>
  <c r="Y26" i="42"/>
  <c r="W26" i="42"/>
  <c r="U26" i="42"/>
  <c r="S26" i="42"/>
  <c r="Q26" i="42"/>
  <c r="O26" i="42"/>
  <c r="M26" i="42"/>
  <c r="K26" i="42"/>
  <c r="I26" i="42"/>
  <c r="G26" i="42"/>
  <c r="E26" i="42"/>
  <c r="AY25" i="42"/>
  <c r="AW25" i="42"/>
  <c r="AU25" i="42"/>
  <c r="BB25" i="42" s="1"/>
  <c r="AS25" i="42"/>
  <c r="AZ25" i="42" s="1"/>
  <c r="AM25" i="42"/>
  <c r="AK25" i="42"/>
  <c r="AN25" i="42" s="1"/>
  <c r="AI25" i="42"/>
  <c r="AP25" i="42" s="1"/>
  <c r="AG25" i="42"/>
  <c r="AA25" i="42"/>
  <c r="Y25" i="42"/>
  <c r="W25" i="42"/>
  <c r="U25" i="42"/>
  <c r="S25" i="42"/>
  <c r="Q25" i="42"/>
  <c r="O25" i="42"/>
  <c r="M25" i="42"/>
  <c r="K25" i="42"/>
  <c r="I25" i="42"/>
  <c r="G25" i="42"/>
  <c r="E25" i="42"/>
  <c r="AB25" i="42" s="1"/>
  <c r="AZ24" i="42"/>
  <c r="AY24" i="42"/>
  <c r="AW24" i="42"/>
  <c r="AU24" i="42"/>
  <c r="BB24" i="42" s="1"/>
  <c r="AS24" i="42"/>
  <c r="AP24" i="42"/>
  <c r="AM24" i="42"/>
  <c r="AK24" i="42"/>
  <c r="AI24" i="42"/>
  <c r="AG24" i="42"/>
  <c r="AN24" i="42" s="1"/>
  <c r="AD24" i="42"/>
  <c r="AA24" i="42"/>
  <c r="Y24" i="42"/>
  <c r="W24" i="42"/>
  <c r="U24" i="42"/>
  <c r="S24" i="42"/>
  <c r="Q24" i="42"/>
  <c r="O24" i="42"/>
  <c r="M24" i="42"/>
  <c r="K24" i="42"/>
  <c r="I24" i="42"/>
  <c r="G24" i="42"/>
  <c r="E24" i="42"/>
  <c r="AY23" i="42"/>
  <c r="BB23" i="42" s="1"/>
  <c r="AW23" i="42"/>
  <c r="AU23" i="42"/>
  <c r="AS23" i="42"/>
  <c r="AZ23" i="42" s="1"/>
  <c r="AP23" i="42"/>
  <c r="AN23" i="42"/>
  <c r="AM23" i="42"/>
  <c r="AK23" i="42"/>
  <c r="AI23" i="42"/>
  <c r="AG23" i="42"/>
  <c r="AD23" i="42"/>
  <c r="AA23" i="42"/>
  <c r="Y23" i="42"/>
  <c r="W23" i="42"/>
  <c r="U23" i="42"/>
  <c r="S23" i="42"/>
  <c r="Q23" i="42"/>
  <c r="O23" i="42"/>
  <c r="M23" i="42"/>
  <c r="K23" i="42"/>
  <c r="I23" i="42"/>
  <c r="G23" i="42"/>
  <c r="E23" i="42"/>
  <c r="AY22" i="42"/>
  <c r="BB22" i="42" s="1"/>
  <c r="AW22" i="42"/>
  <c r="AZ22" i="42" s="1"/>
  <c r="AU22" i="42"/>
  <c r="AS22" i="42"/>
  <c r="AP22" i="42"/>
  <c r="AM22" i="42"/>
  <c r="AK22" i="42"/>
  <c r="AI22" i="42"/>
  <c r="AG22" i="42"/>
  <c r="AN22" i="42" s="1"/>
  <c r="AA22" i="42"/>
  <c r="Y22" i="42"/>
  <c r="W22" i="42"/>
  <c r="U22" i="42"/>
  <c r="S22" i="42"/>
  <c r="Q22" i="42"/>
  <c r="O22" i="42"/>
  <c r="M22" i="42"/>
  <c r="K22" i="42"/>
  <c r="I22" i="42"/>
  <c r="G22" i="42"/>
  <c r="AD22" i="42" s="1"/>
  <c r="E22" i="42"/>
  <c r="AY21" i="42"/>
  <c r="AW21" i="42"/>
  <c r="AZ21" i="42" s="1"/>
  <c r="AU21" i="42"/>
  <c r="BB21" i="42" s="1"/>
  <c r="AS21" i="42"/>
  <c r="AM21" i="42"/>
  <c r="AK21" i="42"/>
  <c r="AI21" i="42"/>
  <c r="AP21" i="42" s="1"/>
  <c r="AG21" i="42"/>
  <c r="AN21" i="42" s="1"/>
  <c r="AD21" i="42"/>
  <c r="AA21" i="42"/>
  <c r="Y21" i="42"/>
  <c r="W21" i="42"/>
  <c r="U21" i="42"/>
  <c r="S21" i="42"/>
  <c r="Q21" i="42"/>
  <c r="O21" i="42"/>
  <c r="M21" i="42"/>
  <c r="K21" i="42"/>
  <c r="I21" i="42"/>
  <c r="AB21" i="42" s="1"/>
  <c r="G21" i="42"/>
  <c r="E21" i="42"/>
  <c r="AY20" i="42"/>
  <c r="AW20" i="42"/>
  <c r="AU20" i="42"/>
  <c r="BB20" i="42" s="1"/>
  <c r="AS20" i="42"/>
  <c r="AZ20" i="42" s="1"/>
  <c r="AM20" i="42"/>
  <c r="AK20" i="42"/>
  <c r="AN20" i="42" s="1"/>
  <c r="AI20" i="42"/>
  <c r="AP20" i="42" s="1"/>
  <c r="AG20" i="42"/>
  <c r="AB20" i="42"/>
  <c r="AA20" i="42"/>
  <c r="Y20" i="42"/>
  <c r="W20" i="42"/>
  <c r="U20" i="42"/>
  <c r="S20" i="42"/>
  <c r="Q20" i="42"/>
  <c r="O20" i="42"/>
  <c r="M20" i="42"/>
  <c r="K20" i="42"/>
  <c r="I20" i="42"/>
  <c r="G20" i="42"/>
  <c r="E20" i="42"/>
  <c r="BB19" i="42"/>
  <c r="AY19" i="42"/>
  <c r="AW19" i="42"/>
  <c r="AU19" i="42"/>
  <c r="AS19" i="42"/>
  <c r="AZ19" i="42" s="1"/>
  <c r="AN19" i="42"/>
  <c r="AM19" i="42"/>
  <c r="AK19" i="42"/>
  <c r="AI19" i="42"/>
  <c r="AG19" i="42"/>
  <c r="AD19" i="42"/>
  <c r="AA19" i="42"/>
  <c r="Y19" i="42"/>
  <c r="W19" i="42"/>
  <c r="U19" i="42"/>
  <c r="S19" i="42"/>
  <c r="Q19" i="42"/>
  <c r="O19" i="42"/>
  <c r="M19" i="42"/>
  <c r="K19" i="42"/>
  <c r="I19" i="42"/>
  <c r="G19" i="42"/>
  <c r="E19" i="42"/>
  <c r="AB19" i="42" s="1"/>
  <c r="AZ18" i="42"/>
  <c r="AY18" i="42"/>
  <c r="AW18" i="42"/>
  <c r="AU18" i="42"/>
  <c r="BB18" i="42" s="1"/>
  <c r="AS18" i="42"/>
  <c r="AM18" i="42"/>
  <c r="AK18" i="42"/>
  <c r="AI18" i="42"/>
  <c r="AP18" i="42" s="1"/>
  <c r="AG18" i="42"/>
  <c r="AA18" i="42"/>
  <c r="Y18" i="42"/>
  <c r="W18" i="42"/>
  <c r="U18" i="42"/>
  <c r="S18" i="42"/>
  <c r="Q18" i="42"/>
  <c r="O18" i="42"/>
  <c r="M18" i="42"/>
  <c r="K18" i="42"/>
  <c r="AD18" i="42" s="1"/>
  <c r="I18" i="42"/>
  <c r="G18" i="42"/>
  <c r="E18" i="42"/>
  <c r="BB17" i="42"/>
  <c r="AY17" i="42"/>
  <c r="AW17" i="42"/>
  <c r="AU17" i="42"/>
  <c r="AS17" i="42"/>
  <c r="AZ17" i="42" s="1"/>
  <c r="AM17" i="42"/>
  <c r="AK17" i="42"/>
  <c r="AI17" i="42"/>
  <c r="AP17" i="42" s="1"/>
  <c r="AG17" i="42"/>
  <c r="AA17" i="42"/>
  <c r="Y17" i="42"/>
  <c r="W17" i="42"/>
  <c r="U17" i="42"/>
  <c r="S17" i="42"/>
  <c r="Q17" i="42"/>
  <c r="O17" i="42"/>
  <c r="M17" i="42"/>
  <c r="AB17" i="42" s="1"/>
  <c r="K17" i="42"/>
  <c r="I17" i="42"/>
  <c r="G17" i="42"/>
  <c r="AD17" i="42" s="1"/>
  <c r="E17" i="42"/>
  <c r="AY16" i="42"/>
  <c r="BB16" i="42" s="1"/>
  <c r="AW16" i="42"/>
  <c r="AZ16" i="42" s="1"/>
  <c r="AU16" i="42"/>
  <c r="AS16" i="42"/>
  <c r="AN16" i="42"/>
  <c r="AM16" i="42"/>
  <c r="AK16" i="42"/>
  <c r="AI16" i="42"/>
  <c r="AP16" i="42" s="1"/>
  <c r="AG16" i="42"/>
  <c r="AD16" i="42"/>
  <c r="AB16" i="42"/>
  <c r="AA16" i="42"/>
  <c r="Y16" i="42"/>
  <c r="W16" i="42"/>
  <c r="U16" i="42"/>
  <c r="S16" i="42"/>
  <c r="Q16" i="42"/>
  <c r="O16" i="42"/>
  <c r="M16" i="42"/>
  <c r="K16" i="42"/>
  <c r="I16" i="42"/>
  <c r="G16" i="42"/>
  <c r="E16" i="42"/>
  <c r="BB15" i="42"/>
  <c r="AY15" i="42"/>
  <c r="AW15" i="42"/>
  <c r="AZ15" i="42" s="1"/>
  <c r="AU15" i="42"/>
  <c r="AS15" i="42"/>
  <c r="AP15" i="42"/>
  <c r="AM15" i="42"/>
  <c r="AK15" i="42"/>
  <c r="AI15" i="42"/>
  <c r="AG15" i="42"/>
  <c r="AN15" i="42" s="1"/>
  <c r="AA15" i="42"/>
  <c r="AD15" i="42" s="1"/>
  <c r="Y15" i="42"/>
  <c r="W15" i="42"/>
  <c r="U15" i="42"/>
  <c r="S15" i="42"/>
  <c r="Q15" i="42"/>
  <c r="O15" i="42"/>
  <c r="M15" i="42"/>
  <c r="K15" i="42"/>
  <c r="G15" i="42"/>
  <c r="E15" i="42"/>
  <c r="AY14" i="42"/>
  <c r="BB14" i="42" s="1"/>
  <c r="AW14" i="42"/>
  <c r="AZ14" i="42" s="1"/>
  <c r="AU14" i="42"/>
  <c r="AS14" i="42"/>
  <c r="AM14" i="42"/>
  <c r="AP14" i="42" s="1"/>
  <c r="AK14" i="42"/>
  <c r="AN14" i="42" s="1"/>
  <c r="AI14" i="42"/>
  <c r="AG14" i="42"/>
  <c r="AA14" i="42"/>
  <c r="Y14" i="42"/>
  <c r="W14" i="42"/>
  <c r="U14" i="42"/>
  <c r="S14" i="42"/>
  <c r="Q14" i="42"/>
  <c r="AB14" i="42" s="1"/>
  <c r="O14" i="42"/>
  <c r="M14" i="42"/>
  <c r="K14" i="42"/>
  <c r="I14" i="42"/>
  <c r="G14" i="42"/>
  <c r="E14" i="42"/>
  <c r="AY13" i="42"/>
  <c r="AW13" i="42"/>
  <c r="AU13" i="42"/>
  <c r="AS13" i="42"/>
  <c r="AZ13" i="42" s="1"/>
  <c r="AN13" i="42"/>
  <c r="AM13" i="42"/>
  <c r="AK13" i="42"/>
  <c r="AI13" i="42"/>
  <c r="AG13" i="42"/>
  <c r="AA13" i="42"/>
  <c r="Y13" i="42"/>
  <c r="W13" i="42"/>
  <c r="U13" i="42"/>
  <c r="S13" i="42"/>
  <c r="Q13" i="42"/>
  <c r="O13" i="42"/>
  <c r="M13" i="42"/>
  <c r="K13" i="42"/>
  <c r="I13" i="42"/>
  <c r="G13" i="42"/>
  <c r="E13" i="42"/>
  <c r="AB13" i="42" s="1"/>
  <c r="BF7" i="42"/>
  <c r="BE7" i="42"/>
  <c r="BD7" i="42"/>
  <c r="BB7" i="42"/>
  <c r="BC7" i="42" s="1"/>
  <c r="BA7" i="42"/>
  <c r="AZ7" i="42"/>
  <c r="AX7" i="42"/>
  <c r="AY7" i="42" s="1"/>
  <c r="AW7" i="42"/>
  <c r="AV7" i="42"/>
  <c r="AT7" i="42"/>
  <c r="AU7" i="42" s="1"/>
  <c r="AR7" i="42"/>
  <c r="AS7" i="42" s="1"/>
  <c r="AQ7" i="42"/>
  <c r="AP7" i="42"/>
  <c r="AN7" i="42"/>
  <c r="AO7" i="42" s="1"/>
  <c r="AL7" i="42"/>
  <c r="AM7" i="42" s="1"/>
  <c r="AK7" i="42"/>
  <c r="AJ7" i="42"/>
  <c r="AH7" i="42"/>
  <c r="AI7" i="42" s="1"/>
  <c r="AG7" i="42"/>
  <c r="AF7" i="42"/>
  <c r="AE7" i="42"/>
  <c r="AD7" i="42"/>
  <c r="AB7" i="42"/>
  <c r="AC7" i="42" s="1"/>
  <c r="AA7" i="42"/>
  <c r="Z7" i="42"/>
  <c r="X7" i="42"/>
  <c r="Y7" i="42" s="1"/>
  <c r="W7" i="42"/>
  <c r="V7" i="42"/>
  <c r="T7" i="42"/>
  <c r="U7" i="42" s="1"/>
  <c r="R7" i="42"/>
  <c r="S7" i="42" s="1"/>
  <c r="Q7" i="42"/>
  <c r="P7" i="42"/>
  <c r="N7" i="42"/>
  <c r="O7" i="42" s="1"/>
  <c r="L7" i="42"/>
  <c r="M7" i="42" s="1"/>
  <c r="K7" i="42"/>
  <c r="J7" i="42"/>
  <c r="I7" i="42"/>
  <c r="H7" i="42"/>
  <c r="G7" i="42"/>
  <c r="F7" i="42"/>
  <c r="E7" i="42"/>
  <c r="D7" i="42"/>
  <c r="BC6" i="42"/>
  <c r="BB6" i="42"/>
  <c r="BA6" i="42"/>
  <c r="BA3" i="42" s="1"/>
  <c r="AZ6" i="42"/>
  <c r="AY6" i="42"/>
  <c r="AX6" i="42"/>
  <c r="AW6" i="42"/>
  <c r="AV6" i="42"/>
  <c r="AU6" i="42"/>
  <c r="AU3" i="42" s="1"/>
  <c r="AT6" i="42"/>
  <c r="AS6" i="42"/>
  <c r="AR6" i="42"/>
  <c r="AQ6" i="42"/>
  <c r="AP6" i="42"/>
  <c r="AO6" i="42"/>
  <c r="AN6" i="42"/>
  <c r="AM6" i="42"/>
  <c r="AL6" i="42"/>
  <c r="AK6" i="42"/>
  <c r="AJ6" i="42"/>
  <c r="AI6" i="42"/>
  <c r="AH6" i="42"/>
  <c r="AG6" i="42"/>
  <c r="AG3" i="42" s="1"/>
  <c r="AF6" i="42"/>
  <c r="AE6" i="42"/>
  <c r="AD6" i="42"/>
  <c r="AC6" i="42"/>
  <c r="AC3" i="42" s="1"/>
  <c r="AB6" i="42"/>
  <c r="AA6" i="42"/>
  <c r="AA3" i="42" s="1"/>
  <c r="Z6" i="42"/>
  <c r="Y6" i="42"/>
  <c r="X6" i="42"/>
  <c r="W6" i="42"/>
  <c r="V6" i="42"/>
  <c r="U6" i="42"/>
  <c r="U3" i="42" s="1"/>
  <c r="T6" i="42"/>
  <c r="S6" i="42"/>
  <c r="R6" i="42"/>
  <c r="Q6" i="42"/>
  <c r="P6" i="42"/>
  <c r="O6" i="42"/>
  <c r="O3" i="42" s="1"/>
  <c r="N6" i="42"/>
  <c r="M6" i="42"/>
  <c r="M3" i="42" s="1"/>
  <c r="L6" i="42"/>
  <c r="K6" i="42"/>
  <c r="J6" i="42"/>
  <c r="J3" i="42" s="1"/>
  <c r="I6" i="42"/>
  <c r="I3" i="42" s="1"/>
  <c r="H6" i="42"/>
  <c r="H3" i="42" s="1"/>
  <c r="G6" i="42"/>
  <c r="G3" i="42" s="1"/>
  <c r="F6" i="42"/>
  <c r="E6" i="42"/>
  <c r="E3" i="42" s="1"/>
  <c r="D6" i="42"/>
  <c r="BA5" i="42"/>
  <c r="BB5" i="42" s="1"/>
  <c r="BC5" i="42" s="1"/>
  <c r="BD6" i="42" s="1"/>
  <c r="BE6" i="42" s="1"/>
  <c r="BF6" i="42" s="1"/>
  <c r="BG6" i="42" s="1"/>
  <c r="AZ5" i="42"/>
  <c r="AY5" i="42"/>
  <c r="AV5" i="42"/>
  <c r="AW5" i="42" s="1"/>
  <c r="AX5" i="42" s="1"/>
  <c r="AS5" i="42"/>
  <c r="AT5" i="42" s="1"/>
  <c r="AU5" i="42" s="1"/>
  <c r="AR5" i="42"/>
  <c r="AN5" i="42"/>
  <c r="AO5" i="42" s="1"/>
  <c r="AP5" i="42" s="1"/>
  <c r="AQ5" i="42" s="1"/>
  <c r="AJ5" i="42"/>
  <c r="AK5" i="42" s="1"/>
  <c r="AL5" i="42" s="1"/>
  <c r="AM5" i="42" s="1"/>
  <c r="AF5" i="42"/>
  <c r="AG5" i="42" s="1"/>
  <c r="AH5" i="42" s="1"/>
  <c r="AI5" i="42" s="1"/>
  <c r="AB5" i="42"/>
  <c r="AC5" i="42" s="1"/>
  <c r="AD5" i="42" s="1"/>
  <c r="AE5" i="42" s="1"/>
  <c r="AA5" i="42"/>
  <c r="Z5" i="42"/>
  <c r="Y5" i="42"/>
  <c r="X5" i="42"/>
  <c r="T5" i="42"/>
  <c r="U5" i="42" s="1"/>
  <c r="V5" i="42" s="1"/>
  <c r="W5" i="42" s="1"/>
  <c r="P5" i="42"/>
  <c r="Q5" i="42" s="1"/>
  <c r="R5" i="42" s="1"/>
  <c r="S5" i="42" s="1"/>
  <c r="N5" i="42"/>
  <c r="O5" i="42" s="1"/>
  <c r="L5" i="42"/>
  <c r="M5" i="42" s="1"/>
  <c r="K5" i="42"/>
  <c r="H5" i="42"/>
  <c r="I5" i="42" s="1"/>
  <c r="J5" i="42" s="1"/>
  <c r="E5" i="42"/>
  <c r="F5" i="42" s="1"/>
  <c r="G5" i="42" s="1"/>
  <c r="D5" i="42"/>
  <c r="AS4" i="42"/>
  <c r="AT4" i="42" s="1"/>
  <c r="AU4" i="42" s="1"/>
  <c r="AV4" i="42" s="1"/>
  <c r="AW4" i="42" s="1"/>
  <c r="AX4" i="42" s="1"/>
  <c r="AY4" i="42" s="1"/>
  <c r="AZ4" i="42" s="1"/>
  <c r="BA4" i="42" s="1"/>
  <c r="BB4" i="42" s="1"/>
  <c r="BC4" i="42" s="1"/>
  <c r="AR4" i="42"/>
  <c r="AF4" i="42"/>
  <c r="AG4" i="42" s="1"/>
  <c r="AH4" i="42" s="1"/>
  <c r="AI4" i="42" s="1"/>
  <c r="AJ4" i="42" s="1"/>
  <c r="AK4" i="42" s="1"/>
  <c r="AL4" i="42" s="1"/>
  <c r="AM4" i="42" s="1"/>
  <c r="AN4" i="42" s="1"/>
  <c r="AO4" i="42" s="1"/>
  <c r="AP4" i="42" s="1"/>
  <c r="AQ4" i="42" s="1"/>
  <c r="G4" i="42"/>
  <c r="H4" i="42" s="1"/>
  <c r="I4" i="42" s="1"/>
  <c r="J4" i="42" s="1"/>
  <c r="K4" i="42" s="1"/>
  <c r="L4" i="42" s="1"/>
  <c r="M4" i="42" s="1"/>
  <c r="N4" i="42" s="1"/>
  <c r="O4" i="42" s="1"/>
  <c r="P4" i="42" s="1"/>
  <c r="Q4" i="42" s="1"/>
  <c r="R4" i="42" s="1"/>
  <c r="S4" i="42" s="1"/>
  <c r="T4" i="42" s="1"/>
  <c r="U4" i="42" s="1"/>
  <c r="V4" i="42" s="1"/>
  <c r="W4" i="42" s="1"/>
  <c r="X4" i="42" s="1"/>
  <c r="Y4" i="42" s="1"/>
  <c r="Z4" i="42" s="1"/>
  <c r="AA4" i="42" s="1"/>
  <c r="AB4" i="42" s="1"/>
  <c r="AC4" i="42" s="1"/>
  <c r="AD4" i="42" s="1"/>
  <c r="AE4" i="42" s="1"/>
  <c r="F4" i="42"/>
  <c r="E4" i="42"/>
  <c r="D4" i="42"/>
  <c r="BC3" i="42"/>
  <c r="AY3" i="42"/>
  <c r="AW3" i="42"/>
  <c r="AS3" i="42"/>
  <c r="AQ3" i="42"/>
  <c r="AO3" i="42"/>
  <c r="AM3" i="42"/>
  <c r="AK3" i="42"/>
  <c r="AI3" i="42"/>
  <c r="AE3" i="42"/>
  <c r="Y3" i="42"/>
  <c r="W3" i="42"/>
  <c r="S3" i="42"/>
  <c r="Q3" i="42"/>
  <c r="K3" i="42"/>
  <c r="G1" i="42" a="1"/>
  <c r="G1" i="42" s="1"/>
  <c r="V44" i="41"/>
  <c r="T44" i="41"/>
  <c r="R44" i="41"/>
  <c r="P44" i="41"/>
  <c r="N44" i="41"/>
  <c r="L44" i="41"/>
  <c r="J44" i="41"/>
  <c r="H44" i="41"/>
  <c r="F44" i="41"/>
  <c r="D44" i="41"/>
  <c r="V43" i="41"/>
  <c r="T43" i="41"/>
  <c r="R43" i="41"/>
  <c r="P43" i="41"/>
  <c r="N43" i="41"/>
  <c r="L43" i="41"/>
  <c r="J43" i="41"/>
  <c r="H43" i="41"/>
  <c r="F43" i="41"/>
  <c r="D43" i="41"/>
  <c r="V42" i="41"/>
  <c r="T42" i="41"/>
  <c r="R42" i="41"/>
  <c r="P42" i="41"/>
  <c r="N42" i="41"/>
  <c r="L42" i="41"/>
  <c r="J42" i="41"/>
  <c r="H42" i="41"/>
  <c r="F42" i="41"/>
  <c r="Z42" i="41" s="1"/>
  <c r="D42" i="41"/>
  <c r="W41" i="41"/>
  <c r="U41" i="41"/>
  <c r="S41" i="41"/>
  <c r="Q41" i="41"/>
  <c r="O41" i="41"/>
  <c r="M41" i="41"/>
  <c r="K41" i="41"/>
  <c r="I41" i="41"/>
  <c r="G41" i="41"/>
  <c r="E41" i="41"/>
  <c r="W40" i="41"/>
  <c r="U40" i="41"/>
  <c r="S40" i="41"/>
  <c r="Q40" i="41"/>
  <c r="O40" i="41"/>
  <c r="M40" i="41"/>
  <c r="K40" i="41"/>
  <c r="I40" i="41"/>
  <c r="G40" i="41"/>
  <c r="E40" i="41"/>
  <c r="W39" i="41"/>
  <c r="U39" i="41"/>
  <c r="S39" i="41"/>
  <c r="Q39" i="41"/>
  <c r="O39" i="41"/>
  <c r="M39" i="41"/>
  <c r="K39" i="41"/>
  <c r="I39" i="41"/>
  <c r="G39" i="41"/>
  <c r="E39" i="41"/>
  <c r="W38" i="41"/>
  <c r="U38" i="41"/>
  <c r="S38" i="41"/>
  <c r="Q38" i="41"/>
  <c r="O38" i="41"/>
  <c r="M38" i="41"/>
  <c r="K38" i="41"/>
  <c r="I38" i="41"/>
  <c r="G38" i="41"/>
  <c r="E38" i="41"/>
  <c r="W37" i="41"/>
  <c r="U37" i="41"/>
  <c r="S37" i="41"/>
  <c r="Q37" i="41"/>
  <c r="O37" i="41"/>
  <c r="M37" i="41"/>
  <c r="K37" i="41"/>
  <c r="I37" i="41"/>
  <c r="G37" i="41"/>
  <c r="E37" i="41"/>
  <c r="W36" i="41"/>
  <c r="U36" i="41"/>
  <c r="S36" i="41"/>
  <c r="Q36" i="41"/>
  <c r="O36" i="41"/>
  <c r="M36" i="41"/>
  <c r="K36" i="41"/>
  <c r="I36" i="41"/>
  <c r="G36" i="41"/>
  <c r="E36" i="41"/>
  <c r="Z35" i="41"/>
  <c r="W35" i="41"/>
  <c r="U35" i="41"/>
  <c r="S35" i="41"/>
  <c r="Q35" i="41"/>
  <c r="O35" i="41"/>
  <c r="M35" i="41"/>
  <c r="K35" i="41"/>
  <c r="I35" i="41"/>
  <c r="G35" i="41"/>
  <c r="E35" i="41"/>
  <c r="W34" i="41"/>
  <c r="U34" i="41"/>
  <c r="S34" i="41"/>
  <c r="Q34" i="41"/>
  <c r="O34" i="41"/>
  <c r="M34" i="41"/>
  <c r="K34" i="41"/>
  <c r="I34" i="41"/>
  <c r="G34" i="41"/>
  <c r="E34" i="41"/>
  <c r="Z33" i="41"/>
  <c r="W33" i="41"/>
  <c r="U33" i="41"/>
  <c r="S33" i="41"/>
  <c r="Q33" i="41"/>
  <c r="O33" i="41"/>
  <c r="M33" i="41"/>
  <c r="K33" i="41"/>
  <c r="I33" i="41"/>
  <c r="G33" i="41"/>
  <c r="E33" i="41"/>
  <c r="W32" i="41"/>
  <c r="U32" i="41"/>
  <c r="S32" i="41"/>
  <c r="Q32" i="41"/>
  <c r="O32" i="41"/>
  <c r="M32" i="41"/>
  <c r="K32" i="41"/>
  <c r="I32" i="41"/>
  <c r="G32" i="41"/>
  <c r="E32" i="41"/>
  <c r="W31" i="41"/>
  <c r="U31" i="41"/>
  <c r="S31" i="41"/>
  <c r="Q31" i="41"/>
  <c r="O31" i="41"/>
  <c r="M31" i="41"/>
  <c r="K31" i="41"/>
  <c r="I31" i="41"/>
  <c r="G31" i="41"/>
  <c r="E31" i="41"/>
  <c r="W30" i="41"/>
  <c r="U30" i="41"/>
  <c r="S30" i="41"/>
  <c r="Q30" i="41"/>
  <c r="O30" i="41"/>
  <c r="M30" i="41"/>
  <c r="K30" i="41"/>
  <c r="I30" i="41"/>
  <c r="G30" i="41"/>
  <c r="E30" i="41"/>
  <c r="Z29" i="41"/>
  <c r="W29" i="41"/>
  <c r="U29" i="41"/>
  <c r="S29" i="41"/>
  <c r="Q29" i="41"/>
  <c r="O29" i="41"/>
  <c r="M29" i="41"/>
  <c r="K29" i="41"/>
  <c r="I29" i="41"/>
  <c r="G29" i="41"/>
  <c r="E29" i="41"/>
  <c r="W28" i="41"/>
  <c r="U28" i="41"/>
  <c r="S28" i="41"/>
  <c r="Q28" i="41"/>
  <c r="O28" i="41"/>
  <c r="M28" i="41"/>
  <c r="K28" i="41"/>
  <c r="I28" i="41"/>
  <c r="G28" i="41"/>
  <c r="E28" i="41"/>
  <c r="W27" i="41"/>
  <c r="U27" i="41"/>
  <c r="S27" i="41"/>
  <c r="Q27" i="41"/>
  <c r="O27" i="41"/>
  <c r="M27" i="41"/>
  <c r="K27" i="41"/>
  <c r="I27" i="41"/>
  <c r="G27" i="41"/>
  <c r="E27" i="41"/>
  <c r="W26" i="41"/>
  <c r="U26" i="41"/>
  <c r="S26" i="41"/>
  <c r="Q26" i="41"/>
  <c r="O26" i="41"/>
  <c r="M26" i="41"/>
  <c r="K26" i="41"/>
  <c r="I26" i="41"/>
  <c r="G26" i="41"/>
  <c r="E26" i="41"/>
  <c r="W25" i="41"/>
  <c r="U25" i="41"/>
  <c r="S25" i="41"/>
  <c r="Q25" i="41"/>
  <c r="O25" i="41"/>
  <c r="M25" i="41"/>
  <c r="K25" i="41"/>
  <c r="I25" i="41"/>
  <c r="G25" i="41"/>
  <c r="E25" i="41"/>
  <c r="W24" i="41"/>
  <c r="U24" i="41"/>
  <c r="S24" i="41"/>
  <c r="Q24" i="41"/>
  <c r="O24" i="41"/>
  <c r="M24" i="41"/>
  <c r="K24" i="41"/>
  <c r="I24" i="41"/>
  <c r="G24" i="41"/>
  <c r="E24" i="41"/>
  <c r="W23" i="41"/>
  <c r="U23" i="41"/>
  <c r="S23" i="41"/>
  <c r="Q23" i="41"/>
  <c r="O23" i="41"/>
  <c r="M23" i="41"/>
  <c r="K23" i="41"/>
  <c r="I23" i="41"/>
  <c r="G23" i="41"/>
  <c r="E23" i="41"/>
  <c r="W22" i="41"/>
  <c r="U22" i="41"/>
  <c r="S22" i="41"/>
  <c r="Q22" i="41"/>
  <c r="O22" i="41"/>
  <c r="M22" i="41"/>
  <c r="K22" i="41"/>
  <c r="I22" i="41"/>
  <c r="G22" i="41"/>
  <c r="E22" i="41"/>
  <c r="W21" i="41"/>
  <c r="U21" i="41"/>
  <c r="S21" i="41"/>
  <c r="Q21" i="41"/>
  <c r="O21" i="41"/>
  <c r="M21" i="41"/>
  <c r="K21" i="41"/>
  <c r="I21" i="41"/>
  <c r="G21" i="41"/>
  <c r="E21" i="41"/>
  <c r="W20" i="41"/>
  <c r="U20" i="41"/>
  <c r="S20" i="41"/>
  <c r="Q20" i="41"/>
  <c r="O20" i="41"/>
  <c r="M20" i="41"/>
  <c r="K20" i="41"/>
  <c r="I20" i="41"/>
  <c r="G20" i="41"/>
  <c r="E20" i="41"/>
  <c r="Z19" i="41"/>
  <c r="W19" i="41"/>
  <c r="U19" i="41"/>
  <c r="S19" i="41"/>
  <c r="Q19" i="41"/>
  <c r="O19" i="41"/>
  <c r="M19" i="41"/>
  <c r="K19" i="41"/>
  <c r="I19" i="41"/>
  <c r="G19" i="41"/>
  <c r="E19" i="41"/>
  <c r="Z18" i="41"/>
  <c r="W18" i="41"/>
  <c r="U18" i="41"/>
  <c r="S18" i="41"/>
  <c r="Q18" i="41"/>
  <c r="O18" i="41"/>
  <c r="M18" i="41"/>
  <c r="K18" i="41"/>
  <c r="I18" i="41"/>
  <c r="G18" i="41"/>
  <c r="E18" i="41"/>
  <c r="Z17" i="41"/>
  <c r="W17" i="41"/>
  <c r="U17" i="41"/>
  <c r="S17" i="41"/>
  <c r="Q17" i="41"/>
  <c r="O17" i="41"/>
  <c r="M17" i="41"/>
  <c r="K17" i="41"/>
  <c r="I17" i="41"/>
  <c r="G17" i="41"/>
  <c r="E17" i="41"/>
  <c r="W16" i="41"/>
  <c r="U16" i="41"/>
  <c r="S16" i="41"/>
  <c r="Q16" i="41"/>
  <c r="O16" i="41"/>
  <c r="M16" i="41"/>
  <c r="K16" i="41"/>
  <c r="I16" i="41"/>
  <c r="G16" i="41"/>
  <c r="E16" i="41"/>
  <c r="Z15" i="41"/>
  <c r="W15" i="41"/>
  <c r="U15" i="41"/>
  <c r="S15" i="41"/>
  <c r="Q15" i="41"/>
  <c r="O15" i="41"/>
  <c r="M15" i="41"/>
  <c r="K15" i="41"/>
  <c r="I15" i="41"/>
  <c r="G15" i="41"/>
  <c r="E15" i="41"/>
  <c r="W14" i="41"/>
  <c r="U14" i="41"/>
  <c r="S14" i="41"/>
  <c r="Q14" i="41"/>
  <c r="O14" i="41"/>
  <c r="M14" i="41"/>
  <c r="K14" i="41"/>
  <c r="I14" i="41"/>
  <c r="G14" i="41"/>
  <c r="E14" i="41"/>
  <c r="W13" i="41"/>
  <c r="U13" i="41"/>
  <c r="S13" i="41"/>
  <c r="Q13" i="41"/>
  <c r="O13" i="41"/>
  <c r="M13" i="41"/>
  <c r="K13" i="41"/>
  <c r="I13" i="41"/>
  <c r="G13" i="41"/>
  <c r="E13" i="41"/>
  <c r="W12" i="41"/>
  <c r="U12" i="41"/>
  <c r="S12" i="41"/>
  <c r="Q12" i="41"/>
  <c r="O12" i="41"/>
  <c r="M12" i="41"/>
  <c r="K12" i="41"/>
  <c r="I12" i="41"/>
  <c r="E12" i="41"/>
  <c r="AH7" i="41"/>
  <c r="AG7" i="41"/>
  <c r="AF7" i="41"/>
  <c r="AD7" i="41"/>
  <c r="AE7" i="41" s="1"/>
  <c r="AC7" i="41"/>
  <c r="AB7" i="41"/>
  <c r="AA7" i="41"/>
  <c r="Z7" i="41"/>
  <c r="X7" i="41"/>
  <c r="V7" i="41"/>
  <c r="W7" i="41" s="1"/>
  <c r="U7" i="41"/>
  <c r="T7" i="41"/>
  <c r="R7" i="41"/>
  <c r="S7" i="41" s="1"/>
  <c r="P7" i="41"/>
  <c r="Q7" i="41" s="1"/>
  <c r="O7" i="41"/>
  <c r="N7" i="41"/>
  <c r="L7" i="41"/>
  <c r="M7" i="41" s="1"/>
  <c r="K7" i="41"/>
  <c r="J7" i="41"/>
  <c r="I7" i="41"/>
  <c r="H7" i="41"/>
  <c r="G7" i="41"/>
  <c r="F7" i="41"/>
  <c r="D7" i="41"/>
  <c r="AI6" i="41"/>
  <c r="AH6" i="41"/>
  <c r="AG6" i="41"/>
  <c r="AF6" i="41"/>
  <c r="AE6" i="41"/>
  <c r="AD6" i="41"/>
  <c r="AC6" i="41"/>
  <c r="AB6" i="41"/>
  <c r="AB3" i="41" s="1"/>
  <c r="AA6" i="41"/>
  <c r="Z6" i="41"/>
  <c r="Y6" i="41"/>
  <c r="X6" i="41"/>
  <c r="X3" i="41" s="1"/>
  <c r="W6" i="41"/>
  <c r="V6" i="41"/>
  <c r="U6" i="41"/>
  <c r="T6" i="41"/>
  <c r="T3" i="41" s="1"/>
  <c r="S6" i="41"/>
  <c r="R6" i="41"/>
  <c r="Q6" i="41"/>
  <c r="P6" i="41"/>
  <c r="P3" i="41" s="1"/>
  <c r="O6" i="41"/>
  <c r="N6" i="41"/>
  <c r="N3" i="41" s="1"/>
  <c r="M6" i="41"/>
  <c r="L6" i="41"/>
  <c r="L3" i="41" s="1"/>
  <c r="K6" i="41"/>
  <c r="J6" i="41"/>
  <c r="J3" i="41" s="1"/>
  <c r="I6" i="41"/>
  <c r="H6" i="41"/>
  <c r="H3" i="41" s="1"/>
  <c r="G6" i="41"/>
  <c r="F6" i="41"/>
  <c r="F3" i="41" s="1"/>
  <c r="E6" i="41"/>
  <c r="D6" i="41"/>
  <c r="D3" i="41" s="1"/>
  <c r="AG5" i="41"/>
  <c r="AH5" i="41" s="1"/>
  <c r="AI5" i="41" s="1"/>
  <c r="AF5" i="41"/>
  <c r="AC5" i="41"/>
  <c r="AD5" i="41" s="1"/>
  <c r="AE5" i="41" s="1"/>
  <c r="AB5" i="41"/>
  <c r="X5" i="41"/>
  <c r="Y5" i="41" s="1"/>
  <c r="Z5" i="41" s="1"/>
  <c r="AA5" i="41" s="1"/>
  <c r="U5" i="41"/>
  <c r="V5" i="41" s="1"/>
  <c r="W5" i="41" s="1"/>
  <c r="T5" i="41"/>
  <c r="R5" i="41"/>
  <c r="S5" i="41" s="1"/>
  <c r="Q5" i="41"/>
  <c r="P5" i="41"/>
  <c r="M5" i="41"/>
  <c r="N5" i="41" s="1"/>
  <c r="O5" i="41" s="1"/>
  <c r="L5" i="41"/>
  <c r="I5" i="41"/>
  <c r="J5" i="41" s="1"/>
  <c r="K5" i="41" s="1"/>
  <c r="H5" i="41"/>
  <c r="D5" i="41"/>
  <c r="E5" i="41" s="1"/>
  <c r="F5" i="41" s="1"/>
  <c r="G5" i="41" s="1"/>
  <c r="AD3" i="41"/>
  <c r="Z3" i="41"/>
  <c r="V3" i="41"/>
  <c r="R3" i="41"/>
  <c r="G1" i="41" a="1"/>
  <c r="G1" i="41" s="1"/>
  <c r="AR55" i="40" a="1"/>
  <c r="AR55" i="40" s="1"/>
  <c r="AO55" i="40" a="1"/>
  <c r="AO55" i="40" s="1"/>
  <c r="AL55" i="40" a="1"/>
  <c r="AL55" i="40" s="1"/>
  <c r="AI55" i="40" a="1"/>
  <c r="AI55" i="40" s="1"/>
  <c r="AI53" i="40" s="1"/>
  <c r="AK53" i="40" s="1"/>
  <c r="AF55" i="40" a="1"/>
  <c r="AF55" i="40" s="1"/>
  <c r="AF50" i="40" s="1"/>
  <c r="AH50" i="40" s="1"/>
  <c r="AC55" i="40"/>
  <c r="AC55" i="40" a="1"/>
  <c r="Z55" i="40" a="1"/>
  <c r="Z55" i="40" s="1"/>
  <c r="W55" i="40" a="1"/>
  <c r="W55" i="40" s="1"/>
  <c r="T55" i="40" a="1"/>
  <c r="T55" i="40" s="1"/>
  <c r="Q55" i="40" a="1"/>
  <c r="Q55" i="40" s="1"/>
  <c r="N55" i="40" a="1"/>
  <c r="N55" i="40" s="1"/>
  <c r="N51" i="40" s="1"/>
  <c r="P51" i="40" s="1"/>
  <c r="K55" i="40" a="1"/>
  <c r="K55" i="40" s="1"/>
  <c r="H55" i="40" a="1"/>
  <c r="H55" i="40" s="1"/>
  <c r="E55" i="40" a="1"/>
  <c r="E55" i="40" s="1"/>
  <c r="AQ53" i="40"/>
  <c r="M53" i="40"/>
  <c r="M37" i="40" s="1"/>
  <c r="AQ52" i="40"/>
  <c r="AQ39" i="40" s="1"/>
  <c r="AI52" i="40"/>
  <c r="AK52" i="40" s="1"/>
  <c r="AC52" i="40"/>
  <c r="AE52" i="40" s="1"/>
  <c r="M52" i="40"/>
  <c r="AQ51" i="40"/>
  <c r="AO51" i="40"/>
  <c r="AI51" i="40"/>
  <c r="AK51" i="40" s="1"/>
  <c r="M51" i="40"/>
  <c r="M33" i="40" s="1"/>
  <c r="AQ50" i="40"/>
  <c r="AQ27" i="40" s="1"/>
  <c r="AO50" i="40"/>
  <c r="AI50" i="40"/>
  <c r="AK50" i="40" s="1"/>
  <c r="AK30" i="40" s="1"/>
  <c r="M50" i="40"/>
  <c r="M17" i="40" s="1"/>
  <c r="AT49" i="40"/>
  <c r="AQ49" i="40"/>
  <c r="AN49" i="40"/>
  <c r="AK49" i="40"/>
  <c r="AH49" i="40"/>
  <c r="AE49" i="40"/>
  <c r="AB49" i="40"/>
  <c r="Y49" i="40"/>
  <c r="V49" i="40"/>
  <c r="S49" i="40"/>
  <c r="P49" i="40"/>
  <c r="M49" i="40"/>
  <c r="J49" i="40"/>
  <c r="G49" i="40"/>
  <c r="AR48" i="40"/>
  <c r="AO48" i="40"/>
  <c r="AL48" i="40"/>
  <c r="AI48" i="40"/>
  <c r="AF48" i="40"/>
  <c r="AC48" i="40"/>
  <c r="Z48" i="40"/>
  <c r="W48" i="40"/>
  <c r="T48" i="40"/>
  <c r="Q48" i="40"/>
  <c r="N48" i="40"/>
  <c r="K48" i="40"/>
  <c r="H48" i="40"/>
  <c r="E48" i="40"/>
  <c r="AR47" i="40"/>
  <c r="AO47" i="40"/>
  <c r="AL47" i="40"/>
  <c r="AI47" i="40"/>
  <c r="AF47" i="40"/>
  <c r="AC47" i="40"/>
  <c r="Z47" i="40"/>
  <c r="W47" i="40"/>
  <c r="T47" i="40"/>
  <c r="Q47" i="40"/>
  <c r="N47" i="40"/>
  <c r="K47" i="40"/>
  <c r="H47" i="40"/>
  <c r="E47" i="40"/>
  <c r="AR46" i="40"/>
  <c r="AO46" i="40"/>
  <c r="AL46" i="40"/>
  <c r="AI46" i="40"/>
  <c r="AF46" i="40"/>
  <c r="AC46" i="40"/>
  <c r="Z46" i="40"/>
  <c r="W46" i="40"/>
  <c r="T46" i="40"/>
  <c r="Q46" i="40"/>
  <c r="N46" i="40"/>
  <c r="K46" i="40"/>
  <c r="H46" i="40"/>
  <c r="E46" i="40"/>
  <c r="AS45" i="40"/>
  <c r="AP45" i="40"/>
  <c r="AM45" i="40"/>
  <c r="AK45" i="40"/>
  <c r="AJ45" i="40"/>
  <c r="AG45" i="40"/>
  <c r="AD45" i="40"/>
  <c r="AA45" i="40"/>
  <c r="X45" i="40"/>
  <c r="U45" i="40"/>
  <c r="R45" i="40"/>
  <c r="O45" i="40"/>
  <c r="L45" i="40"/>
  <c r="I45" i="40"/>
  <c r="F45" i="40"/>
  <c r="AS44" i="40"/>
  <c r="AP44" i="40"/>
  <c r="AM44" i="40"/>
  <c r="AJ44" i="40"/>
  <c r="AG44" i="40"/>
  <c r="AD44" i="40"/>
  <c r="AA44" i="40"/>
  <c r="X44" i="40"/>
  <c r="U44" i="40"/>
  <c r="R44" i="40"/>
  <c r="O44" i="40"/>
  <c r="L44" i="40"/>
  <c r="I44" i="40"/>
  <c r="F44" i="40"/>
  <c r="AS43" i="40"/>
  <c r="AP43" i="40"/>
  <c r="AM43" i="40"/>
  <c r="AJ43" i="40"/>
  <c r="AG43" i="40"/>
  <c r="AD43" i="40"/>
  <c r="AA43" i="40"/>
  <c r="X43" i="40"/>
  <c r="U43" i="40"/>
  <c r="R43" i="40"/>
  <c r="O43" i="40"/>
  <c r="L43" i="40"/>
  <c r="I43" i="40"/>
  <c r="F43" i="40"/>
  <c r="AS42" i="40"/>
  <c r="AP42" i="40"/>
  <c r="AM42" i="40"/>
  <c r="AK42" i="40"/>
  <c r="AJ42" i="40"/>
  <c r="AG42" i="40"/>
  <c r="AD42" i="40"/>
  <c r="AA42" i="40"/>
  <c r="X42" i="40"/>
  <c r="U42" i="40"/>
  <c r="R42" i="40"/>
  <c r="O42" i="40"/>
  <c r="L42" i="40"/>
  <c r="I42" i="40"/>
  <c r="F42" i="40"/>
  <c r="AS41" i="40"/>
  <c r="AQ41" i="40"/>
  <c r="AP41" i="40"/>
  <c r="AM41" i="40"/>
  <c r="AJ41" i="40"/>
  <c r="AG41" i="40"/>
  <c r="AD41" i="40"/>
  <c r="AA41" i="40"/>
  <c r="X41" i="40"/>
  <c r="U41" i="40"/>
  <c r="R41" i="40"/>
  <c r="O41" i="40"/>
  <c r="L41" i="40"/>
  <c r="I41" i="40"/>
  <c r="F41" i="40"/>
  <c r="AS40" i="40"/>
  <c r="AP40" i="40"/>
  <c r="AM40" i="40"/>
  <c r="AJ40" i="40"/>
  <c r="AG40" i="40"/>
  <c r="AD40" i="40"/>
  <c r="AA40" i="40"/>
  <c r="X40" i="40"/>
  <c r="U40" i="40"/>
  <c r="R40" i="40"/>
  <c r="O40" i="40"/>
  <c r="L40" i="40"/>
  <c r="I40" i="40"/>
  <c r="F40" i="40"/>
  <c r="AS39" i="40"/>
  <c r="AP39" i="40"/>
  <c r="AM39" i="40"/>
  <c r="AJ39" i="40"/>
  <c r="AG39" i="40"/>
  <c r="AD39" i="40"/>
  <c r="AA39" i="40"/>
  <c r="X39" i="40"/>
  <c r="U39" i="40"/>
  <c r="R39" i="40"/>
  <c r="O39" i="40"/>
  <c r="L39" i="40"/>
  <c r="I39" i="40"/>
  <c r="F39" i="40"/>
  <c r="AS38" i="40"/>
  <c r="AP38" i="40"/>
  <c r="AM38" i="40"/>
  <c r="AJ38" i="40"/>
  <c r="AG38" i="40"/>
  <c r="AD38" i="40"/>
  <c r="AA38" i="40"/>
  <c r="X38" i="40"/>
  <c r="U38" i="40"/>
  <c r="R38" i="40"/>
  <c r="O38" i="40"/>
  <c r="L38" i="40"/>
  <c r="I38" i="40"/>
  <c r="F38" i="40"/>
  <c r="AS37" i="40"/>
  <c r="AP37" i="40"/>
  <c r="AM37" i="40"/>
  <c r="AJ37" i="40"/>
  <c r="AG37" i="40"/>
  <c r="AD37" i="40"/>
  <c r="AA37" i="40"/>
  <c r="X37" i="40"/>
  <c r="U37" i="40"/>
  <c r="R37" i="40"/>
  <c r="O37" i="40"/>
  <c r="L37" i="40"/>
  <c r="I37" i="40"/>
  <c r="F37" i="40"/>
  <c r="AS36" i="40"/>
  <c r="AP36" i="40"/>
  <c r="AM36" i="40"/>
  <c r="AJ36" i="40"/>
  <c r="AG36" i="40"/>
  <c r="AD36" i="40"/>
  <c r="AA36" i="40"/>
  <c r="X36" i="40"/>
  <c r="U36" i="40"/>
  <c r="R36" i="40"/>
  <c r="O36" i="40"/>
  <c r="L36" i="40"/>
  <c r="I36" i="40"/>
  <c r="F36" i="40"/>
  <c r="AS35" i="40"/>
  <c r="AP35" i="40"/>
  <c r="AM35" i="40"/>
  <c r="AJ35" i="40"/>
  <c r="AG35" i="40"/>
  <c r="AD35" i="40"/>
  <c r="AA35" i="40"/>
  <c r="X35" i="40"/>
  <c r="U35" i="40"/>
  <c r="R35" i="40"/>
  <c r="O35" i="40"/>
  <c r="L35" i="40"/>
  <c r="I35" i="40"/>
  <c r="F35" i="40"/>
  <c r="AS34" i="40"/>
  <c r="AP34" i="40"/>
  <c r="AM34" i="40"/>
  <c r="AJ34" i="40"/>
  <c r="AG34" i="40"/>
  <c r="AD34" i="40"/>
  <c r="AA34" i="40"/>
  <c r="X34" i="40"/>
  <c r="U34" i="40"/>
  <c r="R34" i="40"/>
  <c r="O34" i="40"/>
  <c r="L34" i="40"/>
  <c r="I34" i="40"/>
  <c r="F34" i="40"/>
  <c r="AS33" i="40"/>
  <c r="AQ33" i="40"/>
  <c r="AP33" i="40"/>
  <c r="AM33" i="40"/>
  <c r="AJ33" i="40"/>
  <c r="AG33" i="40"/>
  <c r="AD33" i="40"/>
  <c r="AA33" i="40"/>
  <c r="X33" i="40"/>
  <c r="U33" i="40"/>
  <c r="R33" i="40"/>
  <c r="O33" i="40"/>
  <c r="L33" i="40"/>
  <c r="I33" i="40"/>
  <c r="F33" i="40"/>
  <c r="AS32" i="40"/>
  <c r="AP32" i="40"/>
  <c r="AM32" i="40"/>
  <c r="AJ32" i="40"/>
  <c r="AG32" i="40"/>
  <c r="AD32" i="40"/>
  <c r="AA32" i="40"/>
  <c r="X32" i="40"/>
  <c r="U32" i="40"/>
  <c r="R32" i="40"/>
  <c r="O32" i="40"/>
  <c r="M32" i="40"/>
  <c r="L32" i="40"/>
  <c r="I32" i="40"/>
  <c r="F32" i="40"/>
  <c r="AS31" i="40"/>
  <c r="AP31" i="40"/>
  <c r="AM31" i="40"/>
  <c r="AJ31" i="40"/>
  <c r="AG31" i="40"/>
  <c r="AD31" i="40"/>
  <c r="AA31" i="40"/>
  <c r="X31" i="40"/>
  <c r="U31" i="40"/>
  <c r="R31" i="40"/>
  <c r="O31" i="40"/>
  <c r="L31" i="40"/>
  <c r="I31" i="40"/>
  <c r="F31" i="40"/>
  <c r="AS30" i="40"/>
  <c r="AP30" i="40"/>
  <c r="AM30" i="40"/>
  <c r="AJ30" i="40"/>
  <c r="AG30" i="40"/>
  <c r="AD30" i="40"/>
  <c r="AA30" i="40"/>
  <c r="X30" i="40"/>
  <c r="U30" i="40"/>
  <c r="R30" i="40"/>
  <c r="O30" i="40"/>
  <c r="L30" i="40"/>
  <c r="I30" i="40"/>
  <c r="F30" i="40"/>
  <c r="AS29" i="40"/>
  <c r="AP29" i="40"/>
  <c r="AM29" i="40"/>
  <c r="AJ29" i="40"/>
  <c r="AG29" i="40"/>
  <c r="AD29" i="40"/>
  <c r="AA29" i="40"/>
  <c r="X29" i="40"/>
  <c r="U29" i="40"/>
  <c r="R29" i="40"/>
  <c r="O29" i="40"/>
  <c r="L29" i="40"/>
  <c r="I29" i="40"/>
  <c r="F29" i="40"/>
  <c r="AS28" i="40"/>
  <c r="AP28" i="40"/>
  <c r="AM28" i="40"/>
  <c r="AJ28" i="40"/>
  <c r="AG28" i="40"/>
  <c r="AD28" i="40"/>
  <c r="AA28" i="40"/>
  <c r="X28" i="40"/>
  <c r="U28" i="40"/>
  <c r="R28" i="40"/>
  <c r="O28" i="40"/>
  <c r="M28" i="40"/>
  <c r="L28" i="40"/>
  <c r="I28" i="40"/>
  <c r="F28" i="40"/>
  <c r="AS27" i="40"/>
  <c r="AP27" i="40"/>
  <c r="AM27" i="40"/>
  <c r="AJ27" i="40"/>
  <c r="AG27" i="40"/>
  <c r="AD27" i="40"/>
  <c r="AA27" i="40"/>
  <c r="X27" i="40"/>
  <c r="U27" i="40"/>
  <c r="R27" i="40"/>
  <c r="O27" i="40"/>
  <c r="L27" i="40"/>
  <c r="I27" i="40"/>
  <c r="F27" i="40"/>
  <c r="AS26" i="40"/>
  <c r="AP26" i="40"/>
  <c r="AM26" i="40"/>
  <c r="AJ26" i="40"/>
  <c r="AG26" i="40"/>
  <c r="AD26" i="40"/>
  <c r="AA26" i="40"/>
  <c r="X26" i="40"/>
  <c r="U26" i="40"/>
  <c r="R26" i="40"/>
  <c r="O26" i="40"/>
  <c r="L26" i="40"/>
  <c r="I26" i="40"/>
  <c r="F26" i="40"/>
  <c r="AS25" i="40"/>
  <c r="AP25" i="40"/>
  <c r="AM25" i="40"/>
  <c r="AJ25" i="40"/>
  <c r="AG25" i="40"/>
  <c r="AD25" i="40"/>
  <c r="AA25" i="40"/>
  <c r="X25" i="40"/>
  <c r="U25" i="40"/>
  <c r="R25" i="40"/>
  <c r="O25" i="40"/>
  <c r="L25" i="40"/>
  <c r="I25" i="40"/>
  <c r="F25" i="40"/>
  <c r="AS24" i="40"/>
  <c r="AP24" i="40"/>
  <c r="AM24" i="40"/>
  <c r="AJ24" i="40"/>
  <c r="AG24" i="40"/>
  <c r="AD24" i="40"/>
  <c r="AA24" i="40"/>
  <c r="X24" i="40"/>
  <c r="U24" i="40"/>
  <c r="R24" i="40"/>
  <c r="O24" i="40"/>
  <c r="L24" i="40"/>
  <c r="I24" i="40"/>
  <c r="F24" i="40"/>
  <c r="AS23" i="40"/>
  <c r="AP23" i="40"/>
  <c r="AM23" i="40"/>
  <c r="AJ23" i="40"/>
  <c r="AG23" i="40"/>
  <c r="AD23" i="40"/>
  <c r="AA23" i="40"/>
  <c r="X23" i="40"/>
  <c r="U23" i="40"/>
  <c r="R23" i="40"/>
  <c r="O23" i="40"/>
  <c r="L23" i="40"/>
  <c r="I23" i="40"/>
  <c r="F23" i="40"/>
  <c r="AS22" i="40"/>
  <c r="AP22" i="40"/>
  <c r="AM22" i="40"/>
  <c r="AK22" i="40"/>
  <c r="AJ22" i="40"/>
  <c r="AG22" i="40"/>
  <c r="AD22" i="40"/>
  <c r="AA22" i="40"/>
  <c r="X22" i="40"/>
  <c r="U22" i="40"/>
  <c r="R22" i="40"/>
  <c r="O22" i="40"/>
  <c r="L22" i="40"/>
  <c r="I22" i="40"/>
  <c r="F22" i="40"/>
  <c r="AS21" i="40"/>
  <c r="AP21" i="40"/>
  <c r="AM21" i="40"/>
  <c r="AJ21" i="40"/>
  <c r="AG21" i="40"/>
  <c r="AD21" i="40"/>
  <c r="AA21" i="40"/>
  <c r="X21" i="40"/>
  <c r="U21" i="40"/>
  <c r="R21" i="40"/>
  <c r="O21" i="40"/>
  <c r="L21" i="40"/>
  <c r="I21" i="40"/>
  <c r="F21" i="40"/>
  <c r="AS20" i="40"/>
  <c r="AP20" i="40"/>
  <c r="AM20" i="40"/>
  <c r="AJ20" i="40"/>
  <c r="AG20" i="40"/>
  <c r="AD20" i="40"/>
  <c r="AA20" i="40"/>
  <c r="X20" i="40"/>
  <c r="U20" i="40"/>
  <c r="R20" i="40"/>
  <c r="O20" i="40"/>
  <c r="M20" i="40"/>
  <c r="L20" i="40"/>
  <c r="I20" i="40"/>
  <c r="F20" i="40"/>
  <c r="AS19" i="40"/>
  <c r="AP19" i="40"/>
  <c r="AM19" i="40"/>
  <c r="AJ19" i="40"/>
  <c r="AG19" i="40"/>
  <c r="AD19" i="40"/>
  <c r="AA19" i="40"/>
  <c r="X19" i="40"/>
  <c r="U19" i="40"/>
  <c r="R19" i="40"/>
  <c r="O19" i="40"/>
  <c r="M19" i="40"/>
  <c r="L19" i="40"/>
  <c r="I19" i="40"/>
  <c r="F19" i="40"/>
  <c r="AS18" i="40"/>
  <c r="AP18" i="40"/>
  <c r="AM18" i="40"/>
  <c r="AJ18" i="40"/>
  <c r="AG18" i="40"/>
  <c r="AD18" i="40"/>
  <c r="AA18" i="40"/>
  <c r="X18" i="40"/>
  <c r="U18" i="40"/>
  <c r="R18" i="40"/>
  <c r="O18" i="40"/>
  <c r="L18" i="40"/>
  <c r="I18" i="40"/>
  <c r="F18" i="40"/>
  <c r="AS17" i="40"/>
  <c r="AP17" i="40"/>
  <c r="AM17" i="40"/>
  <c r="AJ17" i="40"/>
  <c r="AG17" i="40"/>
  <c r="AD17" i="40"/>
  <c r="AA17" i="40"/>
  <c r="X17" i="40"/>
  <c r="U17" i="40"/>
  <c r="R17" i="40"/>
  <c r="O17" i="40"/>
  <c r="L17" i="40"/>
  <c r="I17" i="40"/>
  <c r="F17" i="40"/>
  <c r="AS16" i="40"/>
  <c r="AQ16" i="40"/>
  <c r="AP16" i="40"/>
  <c r="AJ16" i="40"/>
  <c r="AG16" i="40"/>
  <c r="AD16" i="40"/>
  <c r="AA16" i="40"/>
  <c r="X16" i="40"/>
  <c r="U16" i="40"/>
  <c r="R16" i="40"/>
  <c r="O16" i="40"/>
  <c r="L16" i="40"/>
  <c r="I16" i="40"/>
  <c r="F16" i="40"/>
  <c r="AY7" i="40"/>
  <c r="AX7" i="40"/>
  <c r="AW7" i="40"/>
  <c r="AV7" i="40"/>
  <c r="AU7" i="40"/>
  <c r="AR7" i="40"/>
  <c r="AS7" i="40" s="1"/>
  <c r="AT7" i="40" s="1"/>
  <c r="AO7" i="40"/>
  <c r="AP7" i="40" s="1"/>
  <c r="AQ7" i="40" s="1"/>
  <c r="AL7" i="40"/>
  <c r="AM7" i="40" s="1"/>
  <c r="AN7" i="40" s="1"/>
  <c r="AI7" i="40"/>
  <c r="AJ7" i="40" s="1"/>
  <c r="AK7" i="40" s="1"/>
  <c r="AH7" i="40"/>
  <c r="AF7" i="40"/>
  <c r="AG7" i="40" s="1"/>
  <c r="AC7" i="40"/>
  <c r="AD7" i="40" s="1"/>
  <c r="AE7" i="40" s="1"/>
  <c r="Z7" i="40"/>
  <c r="AA7" i="40" s="1"/>
  <c r="AB7" i="40" s="1"/>
  <c r="W7" i="40"/>
  <c r="X7" i="40" s="1"/>
  <c r="Y7" i="40" s="1"/>
  <c r="T7" i="40"/>
  <c r="U7" i="40" s="1"/>
  <c r="V7" i="40" s="1"/>
  <c r="Q7" i="40"/>
  <c r="R7" i="40" s="1"/>
  <c r="S7" i="40" s="1"/>
  <c r="N7" i="40"/>
  <c r="O7" i="40" s="1"/>
  <c r="P7" i="40" s="1"/>
  <c r="K7" i="40"/>
  <c r="L7" i="40" s="1"/>
  <c r="M7" i="40" s="1"/>
  <c r="H7" i="40"/>
  <c r="I7" i="40" s="1"/>
  <c r="F7" i="40"/>
  <c r="G7" i="40" s="1"/>
  <c r="E7" i="40"/>
  <c r="AY6" i="40"/>
  <c r="AY3" i="40" s="1"/>
  <c r="AX6" i="40"/>
  <c r="AW6" i="40"/>
  <c r="AV6" i="40"/>
  <c r="AV3" i="40" s="1"/>
  <c r="AU6" i="40"/>
  <c r="AT6" i="40"/>
  <c r="AS6" i="40"/>
  <c r="AR6" i="40"/>
  <c r="AR3" i="40" s="1"/>
  <c r="AQ6" i="40"/>
  <c r="AP6" i="40"/>
  <c r="AP3" i="40" s="1"/>
  <c r="AO6" i="40"/>
  <c r="AO3" i="40" s="1"/>
  <c r="AN6" i="40"/>
  <c r="AM6" i="40"/>
  <c r="AL6" i="40"/>
  <c r="AL3" i="40" s="1"/>
  <c r="AK6" i="40"/>
  <c r="AJ6" i="40"/>
  <c r="AJ3" i="40" s="1"/>
  <c r="AI6" i="40"/>
  <c r="AI3" i="40" s="1"/>
  <c r="AH6" i="40"/>
  <c r="AG6" i="40"/>
  <c r="AF6" i="40"/>
  <c r="AE6" i="40"/>
  <c r="AD6" i="40"/>
  <c r="AD3" i="40" s="1"/>
  <c r="AC6" i="40"/>
  <c r="AC3" i="40" s="1"/>
  <c r="AB6" i="40"/>
  <c r="AA6" i="40"/>
  <c r="AA3" i="40" s="1"/>
  <c r="Z6" i="40"/>
  <c r="Y6" i="40"/>
  <c r="X6" i="40"/>
  <c r="W6" i="40"/>
  <c r="W3" i="40" s="1"/>
  <c r="V6" i="40"/>
  <c r="U6" i="40"/>
  <c r="U3" i="40" s="1"/>
  <c r="T6" i="40"/>
  <c r="T3" i="40" s="1"/>
  <c r="S6" i="40"/>
  <c r="R6" i="40"/>
  <c r="Q6" i="40"/>
  <c r="Q3" i="40" s="1"/>
  <c r="P6" i="40"/>
  <c r="O6" i="40"/>
  <c r="O3" i="40" s="1"/>
  <c r="N6" i="40"/>
  <c r="N3" i="40" s="1"/>
  <c r="M6" i="40"/>
  <c r="L6" i="40"/>
  <c r="K6" i="40"/>
  <c r="K3" i="40" s="1"/>
  <c r="J6" i="40"/>
  <c r="I6" i="40"/>
  <c r="I3" i="40" s="1"/>
  <c r="H6" i="40"/>
  <c r="H3" i="40" s="1"/>
  <c r="G6" i="40"/>
  <c r="F6" i="40"/>
  <c r="E6" i="40"/>
  <c r="E3" i="40" s="1"/>
  <c r="AU5" i="40"/>
  <c r="AV5" i="40" s="1"/>
  <c r="AW5" i="40" s="1"/>
  <c r="AX5" i="40" s="1"/>
  <c r="AY5" i="40" s="1"/>
  <c r="AO5" i="40"/>
  <c r="AP5" i="40" s="1"/>
  <c r="AQ5" i="40" s="1"/>
  <c r="AR5" i="40" s="1"/>
  <c r="AS5" i="40" s="1"/>
  <c r="AT5" i="40" s="1"/>
  <c r="AI5" i="40"/>
  <c r="AJ5" i="40" s="1"/>
  <c r="AK5" i="40" s="1"/>
  <c r="AL5" i="40" s="1"/>
  <c r="AM5" i="40" s="1"/>
  <c r="AN5" i="40" s="1"/>
  <c r="AC5" i="40"/>
  <c r="AD5" i="40" s="1"/>
  <c r="AE5" i="40" s="1"/>
  <c r="AF5" i="40" s="1"/>
  <c r="AG5" i="40" s="1"/>
  <c r="AH5" i="40" s="1"/>
  <c r="AB5" i="40"/>
  <c r="W5" i="40"/>
  <c r="X5" i="40" s="1"/>
  <c r="Y5" i="40" s="1"/>
  <c r="Z5" i="40" s="1"/>
  <c r="AA5" i="40" s="1"/>
  <c r="R5" i="40"/>
  <c r="S5" i="40" s="1"/>
  <c r="T5" i="40" s="1"/>
  <c r="U5" i="40" s="1"/>
  <c r="V5" i="40" s="1"/>
  <c r="Q5" i="40"/>
  <c r="K5" i="40"/>
  <c r="L5" i="40" s="1"/>
  <c r="M5" i="40" s="1"/>
  <c r="N5" i="40" s="1"/>
  <c r="O5" i="40" s="1"/>
  <c r="P5" i="40" s="1"/>
  <c r="F5" i="40"/>
  <c r="G5" i="40" s="1"/>
  <c r="H5" i="40" s="1"/>
  <c r="I5" i="40" s="1"/>
  <c r="J5" i="40" s="1"/>
  <c r="E5" i="40"/>
  <c r="AX3" i="40"/>
  <c r="AS3" i="40"/>
  <c r="AM3" i="40"/>
  <c r="AG3" i="40"/>
  <c r="AF3" i="40"/>
  <c r="Z3" i="40"/>
  <c r="X3" i="40"/>
  <c r="R3" i="40"/>
  <c r="L3" i="40"/>
  <c r="F3" i="40"/>
  <c r="G1" i="40" a="1"/>
  <c r="G1" i="40" s="1"/>
  <c r="DC54" i="39" a="1"/>
  <c r="DC54" i="39" s="1"/>
  <c r="CZ54" i="39" a="1"/>
  <c r="CZ54" i="39" s="1"/>
  <c r="CW54" i="39"/>
  <c r="CW54" i="39" a="1"/>
  <c r="CT54" i="39"/>
  <c r="CT50" i="39" s="1"/>
  <c r="CT54" i="39" a="1"/>
  <c r="CQ54" i="39" a="1"/>
  <c r="CQ54" i="39" s="1"/>
  <c r="CN54" i="39"/>
  <c r="CN54" i="39" a="1"/>
  <c r="CG54" i="39" a="1"/>
  <c r="CG54" i="39" s="1"/>
  <c r="CD54" i="39" a="1"/>
  <c r="CD54" i="39" s="1"/>
  <c r="CA54" i="39" a="1"/>
  <c r="CA54" i="39" s="1"/>
  <c r="BX54" i="39" a="1"/>
  <c r="BX54" i="39" s="1"/>
  <c r="BU54" i="39" a="1"/>
  <c r="BU54" i="39" s="1"/>
  <c r="BR54" i="39" a="1"/>
  <c r="BR54" i="39" s="1"/>
  <c r="BR47" i="39" s="1"/>
  <c r="BT47" i="39" s="1"/>
  <c r="BK54" i="39"/>
  <c r="BK48" i="39" s="1"/>
  <c r="BK54" i="39" a="1"/>
  <c r="BH54" i="39" a="1"/>
  <c r="BH54" i="39" s="1"/>
  <c r="BH50" i="39" s="1"/>
  <c r="BE54" i="39" a="1"/>
  <c r="BE54" i="39" s="1"/>
  <c r="BB54" i="39"/>
  <c r="BB48" i="39" s="1"/>
  <c r="BB54" i="39" a="1"/>
  <c r="AY54" i="39" a="1"/>
  <c r="AY54" i="39" s="1"/>
  <c r="AV54" i="39" a="1"/>
  <c r="AV54" i="39" s="1"/>
  <c r="AL54" i="39"/>
  <c r="AL54" i="39" a="1"/>
  <c r="AI54" i="39" a="1"/>
  <c r="AI54" i="39" s="1"/>
  <c r="AF54" i="39" a="1"/>
  <c r="AF54" i="39" s="1"/>
  <c r="AF47" i="39" s="1"/>
  <c r="AH47" i="39" s="1"/>
  <c r="AC54" i="39" a="1"/>
  <c r="AC54" i="39" s="1"/>
  <c r="Z54" i="39"/>
  <c r="Z50" i="39" s="1"/>
  <c r="Z54" i="39" a="1"/>
  <c r="S54" i="39" a="1"/>
  <c r="S54" i="39" s="1"/>
  <c r="S50" i="39" s="1"/>
  <c r="U50" i="39" s="1"/>
  <c r="P54" i="39" a="1"/>
  <c r="P54" i="39" s="1"/>
  <c r="P49" i="39" s="1"/>
  <c r="M54" i="39"/>
  <c r="M48" i="39" s="1"/>
  <c r="O48" i="39" s="1"/>
  <c r="M54" i="39" a="1"/>
  <c r="J54" i="39" a="1"/>
  <c r="J54" i="39" s="1"/>
  <c r="G54" i="39" a="1"/>
  <c r="G54" i="39" s="1"/>
  <c r="D54" i="39" a="1"/>
  <c r="D54" i="39" s="1"/>
  <c r="DC50" i="39"/>
  <c r="DE50" i="39" s="1"/>
  <c r="DB50" i="39"/>
  <c r="CZ50" i="39"/>
  <c r="CY50" i="39"/>
  <c r="CW50" i="39"/>
  <c r="CV50" i="39"/>
  <c r="BR50" i="39"/>
  <c r="BT50" i="39" s="1"/>
  <c r="BK50" i="39"/>
  <c r="BM50" i="39" s="1"/>
  <c r="BJ50" i="39"/>
  <c r="BD50" i="39"/>
  <c r="BB50" i="39"/>
  <c r="AN50" i="39"/>
  <c r="AL50" i="39"/>
  <c r="AB50" i="39"/>
  <c r="P50" i="39"/>
  <c r="R50" i="39" s="1"/>
  <c r="M50" i="39"/>
  <c r="O50" i="39" s="1"/>
  <c r="F50" i="39"/>
  <c r="F40" i="39" s="1"/>
  <c r="DC49" i="39"/>
  <c r="DE49" i="39" s="1"/>
  <c r="CW49" i="39"/>
  <c r="CY49" i="39" s="1"/>
  <c r="CV49" i="39"/>
  <c r="CT49" i="39"/>
  <c r="BX49" i="39"/>
  <c r="BZ49" i="39" s="1"/>
  <c r="BT49" i="39"/>
  <c r="BR49" i="39"/>
  <c r="BK49" i="39"/>
  <c r="BM49" i="39" s="1"/>
  <c r="BH49" i="39"/>
  <c r="BJ49" i="39" s="1"/>
  <c r="BD49" i="39"/>
  <c r="BB49" i="39"/>
  <c r="AN49" i="39"/>
  <c r="AC49" i="39"/>
  <c r="AE49" i="39" s="1"/>
  <c r="Z49" i="39"/>
  <c r="AB49" i="39" s="1"/>
  <c r="S49" i="39"/>
  <c r="U49" i="39" s="1"/>
  <c r="R49" i="39"/>
  <c r="M49" i="39"/>
  <c r="O49" i="39" s="1"/>
  <c r="O25" i="39" s="1"/>
  <c r="F49" i="39"/>
  <c r="CW48" i="39"/>
  <c r="CY48" i="39" s="1"/>
  <c r="CV48" i="39"/>
  <c r="CT48" i="39"/>
  <c r="BX48" i="39"/>
  <c r="BZ48" i="39" s="1"/>
  <c r="BW48" i="39"/>
  <c r="BU48" i="39"/>
  <c r="BT48" i="39"/>
  <c r="BR48" i="39"/>
  <c r="BM48" i="39"/>
  <c r="BH48" i="39"/>
  <c r="BD48" i="39"/>
  <c r="AN48" i="39"/>
  <c r="AN41" i="39" s="1"/>
  <c r="AI48" i="39"/>
  <c r="AK48" i="39" s="1"/>
  <c r="Z48" i="39"/>
  <c r="AB48" i="39" s="1"/>
  <c r="U48" i="39"/>
  <c r="S48" i="39"/>
  <c r="P48" i="39"/>
  <c r="R48" i="39" s="1"/>
  <c r="F48" i="39"/>
  <c r="CW47" i="39"/>
  <c r="CY47" i="39" s="1"/>
  <c r="CV47" i="39"/>
  <c r="CT47" i="39"/>
  <c r="CS47" i="39"/>
  <c r="CQ47" i="39"/>
  <c r="CN47" i="39"/>
  <c r="CP47" i="39" s="1"/>
  <c r="BM47" i="39"/>
  <c r="BK47" i="39"/>
  <c r="BH47" i="39"/>
  <c r="BD47" i="39"/>
  <c r="BB47" i="39"/>
  <c r="AN47" i="39"/>
  <c r="AC47" i="39"/>
  <c r="AE47" i="39" s="1"/>
  <c r="AB47" i="39"/>
  <c r="Z47" i="39"/>
  <c r="S47" i="39"/>
  <c r="U47" i="39" s="1"/>
  <c r="R47" i="39"/>
  <c r="P47" i="39"/>
  <c r="M47" i="39"/>
  <c r="O47" i="39" s="1"/>
  <c r="F47" i="39"/>
  <c r="DE46" i="39"/>
  <c r="DB46" i="39"/>
  <c r="CY46" i="39"/>
  <c r="CV46" i="39"/>
  <c r="CS46" i="39"/>
  <c r="CP46" i="39"/>
  <c r="CI46" i="39"/>
  <c r="CF46" i="39"/>
  <c r="CC46" i="39"/>
  <c r="BZ46" i="39"/>
  <c r="BW46" i="39"/>
  <c r="BT46" i="39"/>
  <c r="BM46" i="39"/>
  <c r="BJ46" i="39"/>
  <c r="BG46" i="39"/>
  <c r="BD46" i="39"/>
  <c r="BA46" i="39"/>
  <c r="AX46" i="39"/>
  <c r="AN46" i="39"/>
  <c r="AK46" i="39"/>
  <c r="AH46" i="39"/>
  <c r="AE46" i="39"/>
  <c r="AB46" i="39"/>
  <c r="U46" i="39"/>
  <c r="R46" i="39"/>
  <c r="O46" i="39"/>
  <c r="L46" i="39"/>
  <c r="I46" i="39"/>
  <c r="F46" i="39"/>
  <c r="DC45" i="39"/>
  <c r="CZ45" i="39"/>
  <c r="CW45" i="39"/>
  <c r="CT45" i="39"/>
  <c r="CQ45" i="39"/>
  <c r="CN45" i="39"/>
  <c r="CG45" i="39"/>
  <c r="CD45" i="39"/>
  <c r="CA45" i="39"/>
  <c r="BX45" i="39"/>
  <c r="BU45" i="39"/>
  <c r="BR45" i="39"/>
  <c r="BK45" i="39"/>
  <c r="BH45" i="39"/>
  <c r="BE45" i="39"/>
  <c r="BB45" i="39"/>
  <c r="AV45" i="39"/>
  <c r="AL45" i="39"/>
  <c r="AI45" i="39"/>
  <c r="AF45" i="39"/>
  <c r="AC45" i="39"/>
  <c r="Z45" i="39"/>
  <c r="S45" i="39"/>
  <c r="P45" i="39"/>
  <c r="M45" i="39"/>
  <c r="J45" i="39"/>
  <c r="G45" i="39"/>
  <c r="D45" i="39"/>
  <c r="DC44" i="39"/>
  <c r="CZ44" i="39"/>
  <c r="CW44" i="39"/>
  <c r="CT44" i="39"/>
  <c r="CQ44" i="39"/>
  <c r="CN44" i="39"/>
  <c r="CG44" i="39"/>
  <c r="CD44" i="39"/>
  <c r="CA44" i="39"/>
  <c r="BX44" i="39"/>
  <c r="BU44" i="39"/>
  <c r="BR44" i="39"/>
  <c r="BK44" i="39"/>
  <c r="BH44" i="39"/>
  <c r="BE44" i="39"/>
  <c r="BB44" i="39"/>
  <c r="AV44" i="39"/>
  <c r="AL44" i="39"/>
  <c r="AI44" i="39"/>
  <c r="AF44" i="39"/>
  <c r="AC44" i="39"/>
  <c r="Z44" i="39"/>
  <c r="S44" i="39"/>
  <c r="P44" i="39"/>
  <c r="M44" i="39"/>
  <c r="J44" i="39"/>
  <c r="G44" i="39"/>
  <c r="D44" i="39"/>
  <c r="DC43" i="39"/>
  <c r="CZ43" i="39"/>
  <c r="CW43" i="39"/>
  <c r="CT43" i="39"/>
  <c r="CQ43" i="39"/>
  <c r="CN43" i="39"/>
  <c r="CG43" i="39"/>
  <c r="CD43" i="39"/>
  <c r="CA43" i="39"/>
  <c r="BX43" i="39"/>
  <c r="BU43" i="39"/>
  <c r="BR43" i="39"/>
  <c r="BK43" i="39"/>
  <c r="BH43" i="39"/>
  <c r="BE43" i="39"/>
  <c r="BB43" i="39"/>
  <c r="AV43" i="39"/>
  <c r="AL43" i="39"/>
  <c r="AI43" i="39"/>
  <c r="AF43" i="39"/>
  <c r="AC43" i="39"/>
  <c r="Z43" i="39"/>
  <c r="S43" i="39"/>
  <c r="P43" i="39"/>
  <c r="M43" i="39"/>
  <c r="J43" i="39"/>
  <c r="G43" i="39"/>
  <c r="D43" i="39"/>
  <c r="DD42" i="39"/>
  <c r="DA42" i="39"/>
  <c r="CX42" i="39"/>
  <c r="CU42" i="39"/>
  <c r="CR42" i="39"/>
  <c r="CO42" i="39"/>
  <c r="CH42" i="39"/>
  <c r="CE42" i="39"/>
  <c r="CB42" i="39"/>
  <c r="BY42" i="39"/>
  <c r="BV42" i="39"/>
  <c r="BS42" i="39"/>
  <c r="BL42" i="39"/>
  <c r="BI42" i="39"/>
  <c r="BF42" i="39"/>
  <c r="BC42" i="39"/>
  <c r="AZ42" i="39"/>
  <c r="AW42" i="39"/>
  <c r="AM42" i="39"/>
  <c r="AJ42" i="39"/>
  <c r="AG42" i="39"/>
  <c r="AD42" i="39"/>
  <c r="AA42" i="39"/>
  <c r="T42" i="39"/>
  <c r="Q42" i="39"/>
  <c r="N42" i="39"/>
  <c r="K42" i="39"/>
  <c r="H42" i="39"/>
  <c r="F42" i="39"/>
  <c r="E42" i="39"/>
  <c r="DD41" i="39"/>
  <c r="DA41" i="39"/>
  <c r="CX41" i="39"/>
  <c r="CU41" i="39"/>
  <c r="CR41" i="39"/>
  <c r="CO41" i="39"/>
  <c r="CH41" i="39"/>
  <c r="CE41" i="39"/>
  <c r="CB41" i="39"/>
  <c r="BY41" i="39"/>
  <c r="BV41" i="39"/>
  <c r="BS41" i="39"/>
  <c r="BL41" i="39"/>
  <c r="BI41" i="39"/>
  <c r="BF41" i="39"/>
  <c r="BC41" i="39"/>
  <c r="AZ41" i="39"/>
  <c r="AW41" i="39"/>
  <c r="AM41" i="39"/>
  <c r="AJ41" i="39"/>
  <c r="AG41" i="39"/>
  <c r="AD41" i="39"/>
  <c r="AA41" i="39"/>
  <c r="T41" i="39"/>
  <c r="Q41" i="39"/>
  <c r="N41" i="39"/>
  <c r="K41" i="39"/>
  <c r="H41" i="39"/>
  <c r="E41" i="39"/>
  <c r="DD40" i="39"/>
  <c r="DA40" i="39"/>
  <c r="CX40" i="39"/>
  <c r="CU40" i="39"/>
  <c r="CR40" i="39"/>
  <c r="CO40" i="39"/>
  <c r="CH40" i="39"/>
  <c r="CE40" i="39"/>
  <c r="CB40" i="39"/>
  <c r="BY40" i="39"/>
  <c r="BV40" i="39"/>
  <c r="BS40" i="39"/>
  <c r="BL40" i="39"/>
  <c r="BI40" i="39"/>
  <c r="BF40" i="39"/>
  <c r="BC40" i="39"/>
  <c r="AZ40" i="39"/>
  <c r="AW40" i="39"/>
  <c r="AM40" i="39"/>
  <c r="AJ40" i="39"/>
  <c r="AG40" i="39"/>
  <c r="AD40" i="39"/>
  <c r="AA40" i="39"/>
  <c r="T40" i="39"/>
  <c r="Q40" i="39"/>
  <c r="O40" i="39"/>
  <c r="N40" i="39"/>
  <c r="K40" i="39"/>
  <c r="H40" i="39"/>
  <c r="E40" i="39"/>
  <c r="DD39" i="39"/>
  <c r="DA39" i="39"/>
  <c r="CX39" i="39"/>
  <c r="CV39" i="39"/>
  <c r="CU39" i="39"/>
  <c r="CR39" i="39"/>
  <c r="CO39" i="39"/>
  <c r="CH39" i="39"/>
  <c r="CE39" i="39"/>
  <c r="CB39" i="39"/>
  <c r="BY39" i="39"/>
  <c r="BV39" i="39"/>
  <c r="BT39" i="39"/>
  <c r="BS39" i="39"/>
  <c r="BL39" i="39"/>
  <c r="BI39" i="39"/>
  <c r="BF39" i="39"/>
  <c r="BC39" i="39"/>
  <c r="AZ39" i="39"/>
  <c r="AW39" i="39"/>
  <c r="AM39" i="39"/>
  <c r="AJ39" i="39"/>
  <c r="AG39" i="39"/>
  <c r="AD39" i="39"/>
  <c r="AA39" i="39"/>
  <c r="T39" i="39"/>
  <c r="R39" i="39"/>
  <c r="Q39" i="39"/>
  <c r="N39" i="39"/>
  <c r="K39" i="39"/>
  <c r="H39" i="39"/>
  <c r="E39" i="39"/>
  <c r="DD38" i="39"/>
  <c r="DA38" i="39"/>
  <c r="CY38" i="39"/>
  <c r="CX38" i="39"/>
  <c r="CU38" i="39"/>
  <c r="CR38" i="39"/>
  <c r="CO38" i="39"/>
  <c r="CH38" i="39"/>
  <c r="CE38" i="39"/>
  <c r="CB38" i="39"/>
  <c r="BY38" i="39"/>
  <c r="BV38" i="39"/>
  <c r="BT38" i="39"/>
  <c r="BS38" i="39"/>
  <c r="BL38" i="39"/>
  <c r="BI38" i="39"/>
  <c r="BF38" i="39"/>
  <c r="BC38" i="39"/>
  <c r="AZ38" i="39"/>
  <c r="AW38" i="39"/>
  <c r="AM38" i="39"/>
  <c r="AJ38" i="39"/>
  <c r="AG38" i="39"/>
  <c r="AD38" i="39"/>
  <c r="AA38" i="39"/>
  <c r="T38" i="39"/>
  <c r="Q38" i="39"/>
  <c r="N38" i="39"/>
  <c r="K38" i="39"/>
  <c r="H38" i="39"/>
  <c r="E38" i="39"/>
  <c r="DD37" i="39"/>
  <c r="DA37" i="39"/>
  <c r="CX37" i="39"/>
  <c r="CV37" i="39"/>
  <c r="CU37" i="39"/>
  <c r="CR37" i="39"/>
  <c r="CO37" i="39"/>
  <c r="CH37" i="39"/>
  <c r="CE37" i="39"/>
  <c r="CB37" i="39"/>
  <c r="BY37" i="39"/>
  <c r="BV37" i="39"/>
  <c r="BS37" i="39"/>
  <c r="BM37" i="39"/>
  <c r="BL37" i="39"/>
  <c r="BJ37" i="39" a="1"/>
  <c r="BJ37" i="39" s="1"/>
  <c r="BI37" i="39"/>
  <c r="BF37" i="39"/>
  <c r="BC37" i="39"/>
  <c r="AZ37" i="39"/>
  <c r="AW37" i="39"/>
  <c r="AM37" i="39"/>
  <c r="AJ37" i="39"/>
  <c r="AG37" i="39"/>
  <c r="AD37" i="39"/>
  <c r="AA37" i="39"/>
  <c r="T37" i="39"/>
  <c r="Q37" i="39"/>
  <c r="N37" i="39"/>
  <c r="K37" i="39"/>
  <c r="H37" i="39"/>
  <c r="F37" i="39"/>
  <c r="E37" i="39"/>
  <c r="DD36" i="39"/>
  <c r="DA36" i="39"/>
  <c r="CY36" i="39"/>
  <c r="CX36" i="39"/>
  <c r="CU36" i="39"/>
  <c r="CR36" i="39"/>
  <c r="CO36" i="39"/>
  <c r="CH36" i="39"/>
  <c r="CE36" i="39"/>
  <c r="CB36" i="39"/>
  <c r="BY36" i="39"/>
  <c r="BV36" i="39"/>
  <c r="BS36" i="39"/>
  <c r="BM36" i="39"/>
  <c r="BL36" i="39"/>
  <c r="BI36" i="39"/>
  <c r="BF36" i="39"/>
  <c r="BC36" i="39"/>
  <c r="AZ36" i="39"/>
  <c r="AW36" i="39"/>
  <c r="AM36" i="39"/>
  <c r="AJ36" i="39"/>
  <c r="AG36" i="39"/>
  <c r="AD36" i="39"/>
  <c r="AA36" i="39"/>
  <c r="T36" i="39"/>
  <c r="R36" i="39"/>
  <c r="Q36" i="39"/>
  <c r="N36" i="39"/>
  <c r="K36" i="39"/>
  <c r="H36" i="39"/>
  <c r="E36" i="39"/>
  <c r="DD35" i="39"/>
  <c r="DA35" i="39"/>
  <c r="CX35" i="39"/>
  <c r="CU35" i="39"/>
  <c r="CR35" i="39"/>
  <c r="CO35" i="39"/>
  <c r="CH35" i="39"/>
  <c r="CE35" i="39"/>
  <c r="CB35" i="39"/>
  <c r="BY35" i="39"/>
  <c r="BV35" i="39"/>
  <c r="BS35" i="39"/>
  <c r="BL35" i="39"/>
  <c r="BI35" i="39"/>
  <c r="BF35" i="39"/>
  <c r="BC35" i="39"/>
  <c r="AZ35" i="39"/>
  <c r="AW35" i="39"/>
  <c r="AM35" i="39"/>
  <c r="AJ35" i="39"/>
  <c r="AG35" i="39"/>
  <c r="AD35" i="39"/>
  <c r="AA35" i="39"/>
  <c r="T35" i="39"/>
  <c r="R35" i="39"/>
  <c r="Q35" i="39"/>
  <c r="O35" i="39"/>
  <c r="N35" i="39"/>
  <c r="K35" i="39"/>
  <c r="H35" i="39"/>
  <c r="F35" i="39"/>
  <c r="E35" i="39"/>
  <c r="DD34" i="39"/>
  <c r="DA34" i="39"/>
  <c r="CX34" i="39"/>
  <c r="CV34" i="39"/>
  <c r="CU34" i="39"/>
  <c r="CR34" i="39"/>
  <c r="CO34" i="39"/>
  <c r="CH34" i="39"/>
  <c r="CE34" i="39"/>
  <c r="CB34" i="39"/>
  <c r="BY34" i="39"/>
  <c r="BV34" i="39"/>
  <c r="BS34" i="39"/>
  <c r="BL34" i="39"/>
  <c r="BI34" i="39"/>
  <c r="BF34" i="39"/>
  <c r="BC34" i="39"/>
  <c r="AZ34" i="39"/>
  <c r="AW34" i="39"/>
  <c r="AM34" i="39"/>
  <c r="AJ34" i="39"/>
  <c r="AG34" i="39"/>
  <c r="AD34" i="39"/>
  <c r="AA34" i="39"/>
  <c r="T34" i="39"/>
  <c r="Q34" i="39"/>
  <c r="N34" i="39"/>
  <c r="K34" i="39"/>
  <c r="H34" i="39"/>
  <c r="F34" i="39"/>
  <c r="E34" i="39"/>
  <c r="DD33" i="39"/>
  <c r="DA33" i="39"/>
  <c r="CX33" i="39"/>
  <c r="CU33" i="39"/>
  <c r="CR33" i="39"/>
  <c r="CO33" i="39"/>
  <c r="CH33" i="39"/>
  <c r="CE33" i="39"/>
  <c r="CB33" i="39"/>
  <c r="BY33" i="39"/>
  <c r="BV33" i="39"/>
  <c r="BS33" i="39"/>
  <c r="BL33" i="39"/>
  <c r="BJ33" i="39" a="1"/>
  <c r="BJ33" i="39" s="1"/>
  <c r="BI33" i="39"/>
  <c r="BF33" i="39"/>
  <c r="BC33" i="39"/>
  <c r="AZ33" i="39"/>
  <c r="AW33" i="39"/>
  <c r="AM33" i="39"/>
  <c r="AJ33" i="39"/>
  <c r="AG33" i="39"/>
  <c r="AD33" i="39"/>
  <c r="AA33" i="39"/>
  <c r="T33" i="39"/>
  <c r="Q33" i="39"/>
  <c r="N33" i="39"/>
  <c r="K33" i="39"/>
  <c r="H33" i="39"/>
  <c r="F33" i="39"/>
  <c r="E33" i="39"/>
  <c r="DD32" i="39"/>
  <c r="DA32" i="39"/>
  <c r="CX32" i="39"/>
  <c r="CU32" i="39"/>
  <c r="CR32" i="39"/>
  <c r="CO32" i="39"/>
  <c r="CH32" i="39"/>
  <c r="CE32" i="39"/>
  <c r="CB32" i="39"/>
  <c r="BY32" i="39"/>
  <c r="BV32" i="39"/>
  <c r="BT32" i="39"/>
  <c r="BS32" i="39"/>
  <c r="BL32" i="39"/>
  <c r="BI32" i="39"/>
  <c r="BF32" i="39"/>
  <c r="BD32" i="39"/>
  <c r="BC32" i="39"/>
  <c r="AZ32" i="39"/>
  <c r="AW32" i="39"/>
  <c r="AM32" i="39"/>
  <c r="AJ32" i="39"/>
  <c r="AG32" i="39"/>
  <c r="AD32" i="39"/>
  <c r="AA32" i="39"/>
  <c r="T32" i="39"/>
  <c r="Q32" i="39"/>
  <c r="O32" i="39"/>
  <c r="N32" i="39"/>
  <c r="K32" i="39"/>
  <c r="H32" i="39"/>
  <c r="F32" i="39"/>
  <c r="E32" i="39"/>
  <c r="DD31" i="39"/>
  <c r="DA31" i="39"/>
  <c r="CX31" i="39"/>
  <c r="CU31" i="39"/>
  <c r="CR31" i="39"/>
  <c r="CO31" i="39"/>
  <c r="CH31" i="39"/>
  <c r="CE31" i="39"/>
  <c r="CB31" i="39"/>
  <c r="BY31" i="39"/>
  <c r="BV31" i="39"/>
  <c r="BS31" i="39"/>
  <c r="BL31" i="39"/>
  <c r="BI31" i="39"/>
  <c r="BF31" i="39"/>
  <c r="BC31" i="39"/>
  <c r="AZ31" i="39"/>
  <c r="AW31" i="39"/>
  <c r="AM31" i="39"/>
  <c r="AJ31" i="39"/>
  <c r="AG31" i="39"/>
  <c r="AD31" i="39"/>
  <c r="AA31" i="39"/>
  <c r="T31" i="39"/>
  <c r="Q31" i="39"/>
  <c r="N31" i="39"/>
  <c r="K31" i="39"/>
  <c r="H31" i="39"/>
  <c r="E31" i="39"/>
  <c r="DD30" i="39"/>
  <c r="DA30" i="39"/>
  <c r="CX30" i="39"/>
  <c r="CU30" i="39"/>
  <c r="CR30" i="39"/>
  <c r="CO30" i="39"/>
  <c r="CH30" i="39"/>
  <c r="CE30" i="39"/>
  <c r="CB30" i="39"/>
  <c r="BY30" i="39"/>
  <c r="BV30" i="39"/>
  <c r="BS30" i="39"/>
  <c r="BL30" i="39"/>
  <c r="BI30" i="39"/>
  <c r="BF30" i="39"/>
  <c r="BC30" i="39"/>
  <c r="AZ30" i="39"/>
  <c r="AW30" i="39"/>
  <c r="AM30" i="39"/>
  <c r="AJ30" i="39"/>
  <c r="AG30" i="39"/>
  <c r="AD30" i="39"/>
  <c r="AA30" i="39"/>
  <c r="T30" i="39"/>
  <c r="Q30" i="39"/>
  <c r="N30" i="39"/>
  <c r="K30" i="39"/>
  <c r="H30" i="39"/>
  <c r="F30" i="39"/>
  <c r="E30" i="39"/>
  <c r="DD29" i="39"/>
  <c r="DA29" i="39"/>
  <c r="CX29" i="39"/>
  <c r="CU29" i="39"/>
  <c r="CR29" i="39"/>
  <c r="CO29" i="39"/>
  <c r="CH29" i="39"/>
  <c r="CE29" i="39"/>
  <c r="CB29" i="39"/>
  <c r="BY29" i="39"/>
  <c r="BV29" i="39"/>
  <c r="BS29" i="39"/>
  <c r="BM29" i="39"/>
  <c r="BL29" i="39"/>
  <c r="BJ29" i="39"/>
  <c r="BJ29" i="39" a="1"/>
  <c r="BI29" i="39"/>
  <c r="BF29" i="39"/>
  <c r="BC29" i="39"/>
  <c r="AZ29" i="39"/>
  <c r="AW29" i="39"/>
  <c r="AN29" i="39"/>
  <c r="AM29" i="39"/>
  <c r="AJ29" i="39"/>
  <c r="AG29" i="39"/>
  <c r="AD29" i="39"/>
  <c r="AB29" i="39"/>
  <c r="AA29" i="39"/>
  <c r="T29" i="39"/>
  <c r="R29" i="39"/>
  <c r="Q29" i="39"/>
  <c r="N29" i="39"/>
  <c r="K29" i="39"/>
  <c r="H29" i="39"/>
  <c r="E29" i="39"/>
  <c r="DD28" i="39"/>
  <c r="DA28" i="39"/>
  <c r="CX28" i="39"/>
  <c r="CU28" i="39"/>
  <c r="CR28" i="39"/>
  <c r="CO28" i="39"/>
  <c r="CH28" i="39"/>
  <c r="CE28" i="39"/>
  <c r="CB28" i="39"/>
  <c r="BY28" i="39"/>
  <c r="BV28" i="39"/>
  <c r="BS28" i="39"/>
  <c r="BL28" i="39"/>
  <c r="BJ28" i="39" a="1"/>
  <c r="BJ28" i="39" s="1"/>
  <c r="BI28" i="39"/>
  <c r="BF28" i="39"/>
  <c r="BC28" i="39"/>
  <c r="AZ28" i="39"/>
  <c r="AW28" i="39"/>
  <c r="AM28" i="39"/>
  <c r="AJ28" i="39"/>
  <c r="AG28" i="39"/>
  <c r="AD28" i="39"/>
  <c r="AA28" i="39"/>
  <c r="T28" i="39"/>
  <c r="Q28" i="39"/>
  <c r="N28" i="39"/>
  <c r="K28" i="39"/>
  <c r="H28" i="39"/>
  <c r="E28" i="39"/>
  <c r="DD27" i="39"/>
  <c r="DA27" i="39"/>
  <c r="CX27" i="39"/>
  <c r="CV27" i="39"/>
  <c r="CU27" i="39"/>
  <c r="CR27" i="39"/>
  <c r="CO27" i="39"/>
  <c r="CH27" i="39"/>
  <c r="CE27" i="39"/>
  <c r="CB27" i="39"/>
  <c r="BY27" i="39"/>
  <c r="BV27" i="39"/>
  <c r="BS27" i="39"/>
  <c r="BL27" i="39"/>
  <c r="BI27" i="39"/>
  <c r="BF27" i="39"/>
  <c r="BC27" i="39"/>
  <c r="AZ27" i="39"/>
  <c r="AW27" i="39"/>
  <c r="AN27" i="39"/>
  <c r="AM27" i="39"/>
  <c r="AJ27" i="39"/>
  <c r="AG27" i="39"/>
  <c r="AD27" i="39"/>
  <c r="AA27" i="39"/>
  <c r="T27" i="39"/>
  <c r="Q27" i="39"/>
  <c r="N27" i="39"/>
  <c r="K27" i="39"/>
  <c r="H27" i="39"/>
  <c r="F27" i="39"/>
  <c r="E27" i="39"/>
  <c r="DD26" i="39"/>
  <c r="DA26" i="39"/>
  <c r="CX26" i="39"/>
  <c r="CV26" i="39"/>
  <c r="CU26" i="39"/>
  <c r="CR26" i="39"/>
  <c r="CO26" i="39"/>
  <c r="CH26" i="39"/>
  <c r="CE26" i="39"/>
  <c r="CB26" i="39"/>
  <c r="BY26" i="39"/>
  <c r="BV26" i="39"/>
  <c r="BT26" i="39"/>
  <c r="BS26" i="39"/>
  <c r="BM26" i="39"/>
  <c r="BL26" i="39"/>
  <c r="BI26" i="39"/>
  <c r="BF26" i="39"/>
  <c r="BC26" i="39"/>
  <c r="AZ26" i="39"/>
  <c r="AW26" i="39"/>
  <c r="AM26" i="39"/>
  <c r="AJ26" i="39"/>
  <c r="AG26" i="39"/>
  <c r="AD26" i="39"/>
  <c r="AA26" i="39"/>
  <c r="T26" i="39"/>
  <c r="R26" i="39"/>
  <c r="Q26" i="39"/>
  <c r="N26" i="39"/>
  <c r="K26" i="39"/>
  <c r="H26" i="39"/>
  <c r="E26" i="39"/>
  <c r="DD25" i="39"/>
  <c r="DA25" i="39"/>
  <c r="CY25" i="39"/>
  <c r="CX25" i="39"/>
  <c r="CU25" i="39"/>
  <c r="CR25" i="39"/>
  <c r="CO25" i="39"/>
  <c r="CH25" i="39"/>
  <c r="CE25" i="39"/>
  <c r="CB25" i="39"/>
  <c r="BY25" i="39"/>
  <c r="BV25" i="39"/>
  <c r="BS25" i="39"/>
  <c r="BL25" i="39"/>
  <c r="BI25" i="39"/>
  <c r="BF25" i="39"/>
  <c r="BC25" i="39"/>
  <c r="AZ25" i="39"/>
  <c r="AW25" i="39"/>
  <c r="AM25" i="39"/>
  <c r="AJ25" i="39"/>
  <c r="AG25" i="39"/>
  <c r="AD25" i="39"/>
  <c r="AA25" i="39"/>
  <c r="T25" i="39"/>
  <c r="Q25" i="39"/>
  <c r="N25" i="39"/>
  <c r="K25" i="39"/>
  <c r="H25" i="39"/>
  <c r="F25" i="39"/>
  <c r="E25" i="39"/>
  <c r="DD24" i="39"/>
  <c r="DA24" i="39"/>
  <c r="CY24" i="39"/>
  <c r="CX24" i="39"/>
  <c r="CU24" i="39"/>
  <c r="CR24" i="39"/>
  <c r="CO24" i="39"/>
  <c r="CH24" i="39"/>
  <c r="CE24" i="39"/>
  <c r="CB24" i="39"/>
  <c r="BY24" i="39"/>
  <c r="BV24" i="39"/>
  <c r="BS24" i="39"/>
  <c r="BM24" i="39"/>
  <c r="BL24" i="39"/>
  <c r="BJ24" i="39" a="1"/>
  <c r="BJ24" i="39" s="1"/>
  <c r="BI24" i="39"/>
  <c r="BF24" i="39"/>
  <c r="BC24" i="39"/>
  <c r="AZ24" i="39"/>
  <c r="AW24" i="39"/>
  <c r="AM24" i="39"/>
  <c r="AJ24" i="39"/>
  <c r="AG24" i="39"/>
  <c r="AD24" i="39"/>
  <c r="AA24" i="39"/>
  <c r="T24" i="39"/>
  <c r="R24" i="39"/>
  <c r="Q24" i="39"/>
  <c r="N24" i="39"/>
  <c r="K24" i="39"/>
  <c r="H24" i="39"/>
  <c r="F24" i="39"/>
  <c r="E24" i="39"/>
  <c r="DD23" i="39"/>
  <c r="DA23" i="39"/>
  <c r="CX23" i="39"/>
  <c r="CU23" i="39"/>
  <c r="CR23" i="39"/>
  <c r="CO23" i="39"/>
  <c r="CH23" i="39"/>
  <c r="CE23" i="39"/>
  <c r="CB23" i="39"/>
  <c r="BY23" i="39"/>
  <c r="BV23" i="39"/>
  <c r="BS23" i="39"/>
  <c r="BL23" i="39"/>
  <c r="BI23" i="39"/>
  <c r="BF23" i="39"/>
  <c r="BC23" i="39"/>
  <c r="AZ23" i="39"/>
  <c r="AW23" i="39"/>
  <c r="AN23" i="39"/>
  <c r="AM23" i="39"/>
  <c r="AJ23" i="39"/>
  <c r="AG23" i="39"/>
  <c r="AD23" i="39"/>
  <c r="AA23" i="39"/>
  <c r="T23" i="39"/>
  <c r="R23" i="39"/>
  <c r="Q23" i="39"/>
  <c r="N23" i="39"/>
  <c r="K23" i="39"/>
  <c r="H23" i="39"/>
  <c r="F23" i="39"/>
  <c r="E23" i="39"/>
  <c r="DD22" i="39"/>
  <c r="DA22" i="39"/>
  <c r="CY22" i="39"/>
  <c r="CX22" i="39"/>
  <c r="CU22" i="39"/>
  <c r="CR22" i="39"/>
  <c r="CO22" i="39"/>
  <c r="CH22" i="39"/>
  <c r="CE22" i="39"/>
  <c r="CB22" i="39"/>
  <c r="BY22" i="39"/>
  <c r="BV22" i="39"/>
  <c r="BT22" i="39"/>
  <c r="BS22" i="39"/>
  <c r="BM22" i="39"/>
  <c r="BL22" i="39"/>
  <c r="BI22" i="39"/>
  <c r="BF22" i="39"/>
  <c r="BC22" i="39"/>
  <c r="AZ22" i="39"/>
  <c r="AW22" i="39"/>
  <c r="AN22" i="39"/>
  <c r="AM22" i="39"/>
  <c r="AJ22" i="39"/>
  <c r="AG22" i="39"/>
  <c r="AD22" i="39"/>
  <c r="AA22" i="39"/>
  <c r="T22" i="39"/>
  <c r="Q22" i="39"/>
  <c r="N22" i="39"/>
  <c r="K22" i="39"/>
  <c r="H22" i="39"/>
  <c r="F22" i="39"/>
  <c r="E22" i="39"/>
  <c r="DD21" i="39"/>
  <c r="DA21" i="39"/>
  <c r="CY21" i="39"/>
  <c r="CX21" i="39"/>
  <c r="CU21" i="39"/>
  <c r="CR21" i="39"/>
  <c r="CO21" i="39"/>
  <c r="CH21" i="39"/>
  <c r="CE21" i="39"/>
  <c r="CB21" i="39"/>
  <c r="BY21" i="39"/>
  <c r="BV21" i="39"/>
  <c r="BT21" i="39"/>
  <c r="BS21" i="39"/>
  <c r="BL21" i="39"/>
  <c r="BI21" i="39"/>
  <c r="BF21" i="39"/>
  <c r="BC21" i="39"/>
  <c r="AZ21" i="39"/>
  <c r="AW21" i="39"/>
  <c r="AM21" i="39"/>
  <c r="AJ21" i="39"/>
  <c r="AG21" i="39"/>
  <c r="AD21" i="39"/>
  <c r="AB21" i="39"/>
  <c r="AA21" i="39"/>
  <c r="T21" i="39"/>
  <c r="Q21" i="39"/>
  <c r="N21" i="39"/>
  <c r="K21" i="39"/>
  <c r="H21" i="39"/>
  <c r="F21" i="39"/>
  <c r="E21" i="39"/>
  <c r="DD20" i="39"/>
  <c r="DA20" i="39"/>
  <c r="CX20" i="39"/>
  <c r="CU20" i="39"/>
  <c r="CR20" i="39"/>
  <c r="CO20" i="39"/>
  <c r="CH20" i="39"/>
  <c r="CE20" i="39"/>
  <c r="CB20" i="39"/>
  <c r="BY20" i="39"/>
  <c r="BV20" i="39"/>
  <c r="BS20" i="39"/>
  <c r="BL20" i="39"/>
  <c r="BI20" i="39"/>
  <c r="BF20" i="39"/>
  <c r="BD20" i="39"/>
  <c r="BC20" i="39"/>
  <c r="AZ20" i="39"/>
  <c r="AW20" i="39"/>
  <c r="AM20" i="39"/>
  <c r="AJ20" i="39"/>
  <c r="AG20" i="39"/>
  <c r="AD20" i="39"/>
  <c r="AA20" i="39"/>
  <c r="T20" i="39"/>
  <c r="R20" i="39"/>
  <c r="Q20" i="39"/>
  <c r="O20" i="39"/>
  <c r="N20" i="39"/>
  <c r="K20" i="39"/>
  <c r="H20" i="39"/>
  <c r="E20" i="39"/>
  <c r="DD19" i="39"/>
  <c r="DA19" i="39"/>
  <c r="CX19" i="39"/>
  <c r="CU19" i="39"/>
  <c r="CR19" i="39"/>
  <c r="CO19" i="39"/>
  <c r="CH19" i="39"/>
  <c r="CE19" i="39"/>
  <c r="CB19" i="39"/>
  <c r="BY19" i="39"/>
  <c r="BV19" i="39"/>
  <c r="BT19" i="39"/>
  <c r="BS19" i="39"/>
  <c r="BL19" i="39"/>
  <c r="BI19" i="39"/>
  <c r="BF19" i="39"/>
  <c r="BC19" i="39"/>
  <c r="AZ19" i="39"/>
  <c r="AW19" i="39"/>
  <c r="AN19" i="39"/>
  <c r="AM19" i="39"/>
  <c r="AJ19" i="39"/>
  <c r="AG19" i="39"/>
  <c r="AD19" i="39"/>
  <c r="AA19" i="39"/>
  <c r="T19" i="39"/>
  <c r="R19" i="39"/>
  <c r="Q19" i="39"/>
  <c r="O19" i="39"/>
  <c r="N19" i="39"/>
  <c r="K19" i="39"/>
  <c r="H19" i="39"/>
  <c r="F19" i="39"/>
  <c r="E19" i="39"/>
  <c r="DD18" i="39"/>
  <c r="DA18" i="39"/>
  <c r="CX18" i="39"/>
  <c r="CU18" i="39"/>
  <c r="CR18" i="39"/>
  <c r="CO18" i="39"/>
  <c r="CH18" i="39"/>
  <c r="CE18" i="39"/>
  <c r="CB18" i="39"/>
  <c r="BY18" i="39"/>
  <c r="BV18" i="39"/>
  <c r="BS18" i="39"/>
  <c r="BM18" i="39"/>
  <c r="BL18" i="39"/>
  <c r="BI18" i="39"/>
  <c r="BF18" i="39"/>
  <c r="BD18" i="39"/>
  <c r="BC18" i="39"/>
  <c r="AZ18" i="39"/>
  <c r="AW18" i="39"/>
  <c r="AM18" i="39"/>
  <c r="AJ18" i="39"/>
  <c r="AG18" i="39"/>
  <c r="AD18" i="39"/>
  <c r="AA18" i="39"/>
  <c r="T18" i="39"/>
  <c r="Q18" i="39"/>
  <c r="O18" i="39"/>
  <c r="N18" i="39"/>
  <c r="K18" i="39"/>
  <c r="H18" i="39"/>
  <c r="F18" i="39"/>
  <c r="E18" i="39"/>
  <c r="DD17" i="39"/>
  <c r="DA17" i="39"/>
  <c r="CX17" i="39"/>
  <c r="CU17" i="39"/>
  <c r="CR17" i="39"/>
  <c r="CO17" i="39"/>
  <c r="CH17" i="39"/>
  <c r="CE17" i="39"/>
  <c r="CB17" i="39"/>
  <c r="BY17" i="39"/>
  <c r="BV17" i="39"/>
  <c r="BS17" i="39"/>
  <c r="BL17" i="39"/>
  <c r="BI17" i="39"/>
  <c r="BF17" i="39"/>
  <c r="BC17" i="39"/>
  <c r="AZ17" i="39"/>
  <c r="AW17" i="39"/>
  <c r="AM17" i="39"/>
  <c r="AJ17" i="39"/>
  <c r="AG17" i="39"/>
  <c r="AD17" i="39"/>
  <c r="AA17" i="39"/>
  <c r="T17" i="39"/>
  <c r="R17" i="39"/>
  <c r="Q17" i="39"/>
  <c r="O17" i="39"/>
  <c r="N17" i="39"/>
  <c r="K17" i="39"/>
  <c r="H17" i="39"/>
  <c r="E17" i="39"/>
  <c r="DD16" i="39"/>
  <c r="DA16" i="39"/>
  <c r="CY16" i="39"/>
  <c r="CX16" i="39"/>
  <c r="CU16" i="39"/>
  <c r="CR16" i="39"/>
  <c r="CO16" i="39"/>
  <c r="CH16" i="39"/>
  <c r="CE16" i="39"/>
  <c r="CB16" i="39"/>
  <c r="BY16" i="39"/>
  <c r="BV16" i="39"/>
  <c r="BT16" i="39"/>
  <c r="BS16" i="39"/>
  <c r="BL16" i="39"/>
  <c r="BI16" i="39"/>
  <c r="BF16" i="39"/>
  <c r="BD16" i="39"/>
  <c r="BC16" i="39"/>
  <c r="AZ16" i="39"/>
  <c r="AW16" i="39"/>
  <c r="AM16" i="39"/>
  <c r="AJ16" i="39"/>
  <c r="AG16" i="39"/>
  <c r="AD16" i="39"/>
  <c r="AA16" i="39"/>
  <c r="T16" i="39"/>
  <c r="R16" i="39"/>
  <c r="Q16" i="39"/>
  <c r="O16" i="39"/>
  <c r="N16" i="39"/>
  <c r="K16" i="39"/>
  <c r="H16" i="39"/>
  <c r="F16" i="39"/>
  <c r="E16" i="39"/>
  <c r="DD15" i="39"/>
  <c r="DA15" i="39"/>
  <c r="CX15" i="39"/>
  <c r="CU15" i="39"/>
  <c r="CR15" i="39"/>
  <c r="CO15" i="39"/>
  <c r="CH15" i="39"/>
  <c r="CE15" i="39"/>
  <c r="CB15" i="39"/>
  <c r="BY15" i="39"/>
  <c r="BV15" i="39"/>
  <c r="BS15" i="39"/>
  <c r="BL15" i="39"/>
  <c r="BI15" i="39"/>
  <c r="BF15" i="39"/>
  <c r="BC15" i="39"/>
  <c r="AZ15" i="39"/>
  <c r="AW15" i="39"/>
  <c r="AM15" i="39"/>
  <c r="AJ15" i="39"/>
  <c r="AG15" i="39"/>
  <c r="AD15" i="39"/>
  <c r="AA15" i="39"/>
  <c r="T15" i="39"/>
  <c r="Q15" i="39"/>
  <c r="O15" i="39"/>
  <c r="N15" i="39"/>
  <c r="K15" i="39"/>
  <c r="H15" i="39"/>
  <c r="F15" i="39"/>
  <c r="E15" i="39"/>
  <c r="DD14" i="39"/>
  <c r="DA14" i="39"/>
  <c r="CX14" i="39"/>
  <c r="CV14" i="39"/>
  <c r="CU14" i="39"/>
  <c r="CR14" i="39"/>
  <c r="CO14" i="39"/>
  <c r="CH14" i="39"/>
  <c r="CE14" i="39"/>
  <c r="CB14" i="39"/>
  <c r="BY14" i="39"/>
  <c r="BV14" i="39"/>
  <c r="BT14" i="39"/>
  <c r="BS14" i="39"/>
  <c r="BM14" i="39"/>
  <c r="BL14" i="39"/>
  <c r="BJ14" i="39"/>
  <c r="BJ14" i="39" a="1"/>
  <c r="BI14" i="39"/>
  <c r="BF14" i="39"/>
  <c r="BC14" i="39"/>
  <c r="AZ14" i="39"/>
  <c r="AW14" i="39"/>
  <c r="AM14" i="39"/>
  <c r="AJ14" i="39"/>
  <c r="AG14" i="39"/>
  <c r="AD14" i="39"/>
  <c r="AA14" i="39"/>
  <c r="T14" i="39"/>
  <c r="Q14" i="39"/>
  <c r="O14" i="39"/>
  <c r="N14" i="39"/>
  <c r="K14" i="39"/>
  <c r="H14" i="39"/>
  <c r="F14" i="39"/>
  <c r="E14" i="39"/>
  <c r="DD13" i="39"/>
  <c r="DA13" i="39"/>
  <c r="CX13" i="39"/>
  <c r="CX6" i="39" s="1"/>
  <c r="CX3" i="39" s="1"/>
  <c r="CU13" i="39"/>
  <c r="CR13" i="39"/>
  <c r="CR6" i="39" s="1"/>
  <c r="CR3" i="39" s="1"/>
  <c r="CO13" i="39"/>
  <c r="CH13" i="39"/>
  <c r="CE13" i="39"/>
  <c r="CE6" i="39" s="1"/>
  <c r="CE3" i="39" s="1"/>
  <c r="CB13" i="39"/>
  <c r="BY13" i="39"/>
  <c r="BV13" i="39"/>
  <c r="BT13" i="39"/>
  <c r="BT6" i="39" s="1"/>
  <c r="BS13" i="39"/>
  <c r="BS6" i="39" s="1"/>
  <c r="BS3" i="39" s="1"/>
  <c r="BL13" i="39"/>
  <c r="BI13" i="39"/>
  <c r="BF13" i="39"/>
  <c r="BC13" i="39"/>
  <c r="AZ13" i="39"/>
  <c r="AW13" i="39"/>
  <c r="AW6" i="39" s="1"/>
  <c r="AM13" i="39"/>
  <c r="AJ13" i="39"/>
  <c r="AG13" i="39"/>
  <c r="AD13" i="39"/>
  <c r="AD6" i="39" s="1"/>
  <c r="AD3" i="39" s="1"/>
  <c r="AA13" i="39"/>
  <c r="T13" i="39"/>
  <c r="T6" i="39" s="1"/>
  <c r="T3" i="39" s="1"/>
  <c r="Q13" i="39"/>
  <c r="N13" i="39"/>
  <c r="N6" i="39" s="1"/>
  <c r="N3" i="39" s="1"/>
  <c r="K13" i="39"/>
  <c r="H13" i="39"/>
  <c r="F13" i="39"/>
  <c r="E13" i="39"/>
  <c r="DN7" i="39"/>
  <c r="DM7" i="39"/>
  <c r="DL7" i="39"/>
  <c r="DJ7" i="39"/>
  <c r="DH7" i="39"/>
  <c r="DI7" i="39" s="1"/>
  <c r="DF7" i="39"/>
  <c r="DD7" i="39"/>
  <c r="DE7" i="39" s="1"/>
  <c r="DC7" i="39"/>
  <c r="CZ7" i="39"/>
  <c r="DA7" i="39" s="1"/>
  <c r="DB7" i="39" s="1"/>
  <c r="CY7" i="39"/>
  <c r="CX7" i="39"/>
  <c r="CW7" i="39"/>
  <c r="CU7" i="39"/>
  <c r="CV7" i="39" s="1"/>
  <c r="CT7" i="39"/>
  <c r="CR7" i="39"/>
  <c r="CS7" i="39" s="1"/>
  <c r="CQ7" i="39"/>
  <c r="CO7" i="39"/>
  <c r="CP7" i="39" s="1"/>
  <c r="CN7" i="39"/>
  <c r="CL7" i="39"/>
  <c r="CJ7" i="39"/>
  <c r="CG7" i="39"/>
  <c r="CH7" i="39" s="1"/>
  <c r="CI7" i="39" s="1"/>
  <c r="CE7" i="39"/>
  <c r="CF7" i="39" s="1"/>
  <c r="CD7" i="39"/>
  <c r="CB7" i="39"/>
  <c r="CC7" i="39" s="1"/>
  <c r="CA7" i="39"/>
  <c r="BY7" i="39"/>
  <c r="BZ7" i="39" s="1"/>
  <c r="BX7" i="39"/>
  <c r="BU7" i="39"/>
  <c r="BV7" i="39" s="1"/>
  <c r="BW7" i="39" s="1"/>
  <c r="BT7" i="39"/>
  <c r="BR7" i="39"/>
  <c r="BS7" i="39" s="1"/>
  <c r="BP7" i="39"/>
  <c r="BN7" i="39"/>
  <c r="BM7" i="39"/>
  <c r="BL7" i="39"/>
  <c r="BK7" i="39"/>
  <c r="BJ7" i="39"/>
  <c r="BH7" i="39"/>
  <c r="BI7" i="39" s="1"/>
  <c r="BE7" i="39"/>
  <c r="BF7" i="39" s="1"/>
  <c r="BG7" i="39" s="1"/>
  <c r="BB7" i="39"/>
  <c r="BC7" i="39" s="1"/>
  <c r="BD7" i="39" s="1"/>
  <c r="AZ7" i="39"/>
  <c r="BA7" i="39" s="1"/>
  <c r="AY7" i="39"/>
  <c r="AW7" i="39"/>
  <c r="AX7" i="39" s="1"/>
  <c r="AV7" i="39"/>
  <c r="AT7" i="39"/>
  <c r="AS7" i="39"/>
  <c r="AR7" i="39"/>
  <c r="AP7" i="39"/>
  <c r="AQ7" i="39" s="1"/>
  <c r="AO7" i="39"/>
  <c r="AL7" i="39"/>
  <c r="AM7" i="39" s="1"/>
  <c r="AN7" i="39" s="1"/>
  <c r="AJ7" i="39"/>
  <c r="AK7" i="39" s="1"/>
  <c r="AI7" i="39"/>
  <c r="AF7" i="39"/>
  <c r="AG7" i="39" s="1"/>
  <c r="AH7" i="39" s="1"/>
  <c r="AD7" i="39"/>
  <c r="AE7" i="39" s="1"/>
  <c r="AC7" i="39"/>
  <c r="AA7" i="39"/>
  <c r="AB7" i="39" s="1"/>
  <c r="Z7" i="39"/>
  <c r="X7" i="39"/>
  <c r="V7" i="39"/>
  <c r="T7" i="39"/>
  <c r="U7" i="39" s="1"/>
  <c r="S7" i="39"/>
  <c r="P7" i="39"/>
  <c r="Q7" i="39" s="1"/>
  <c r="R7" i="39" s="1"/>
  <c r="M7" i="39"/>
  <c r="N7" i="39" s="1"/>
  <c r="O7" i="39" s="1"/>
  <c r="L7" i="39"/>
  <c r="J7" i="39"/>
  <c r="K7" i="39" s="1"/>
  <c r="I7" i="39"/>
  <c r="G7" i="39"/>
  <c r="H7" i="39" s="1"/>
  <c r="D7" i="39"/>
  <c r="DD6" i="39"/>
  <c r="DD3" i="39" s="1"/>
  <c r="DC6" i="39"/>
  <c r="DC3" i="39" s="1"/>
  <c r="DA6" i="39"/>
  <c r="DA3" i="39" s="1"/>
  <c r="CZ6" i="39"/>
  <c r="CZ3" i="39" s="1"/>
  <c r="CW6" i="39"/>
  <c r="CW3" i="39" s="1"/>
  <c r="CU6" i="39"/>
  <c r="CT6" i="39"/>
  <c r="CQ6" i="39"/>
  <c r="CQ3" i="39" s="1"/>
  <c r="CO6" i="39"/>
  <c r="CN6" i="39"/>
  <c r="CN3" i="39" s="1"/>
  <c r="CH6" i="39"/>
  <c r="CG6" i="39"/>
  <c r="CG3" i="39" s="1"/>
  <c r="CD6" i="39"/>
  <c r="CD3" i="39" s="1"/>
  <c r="CB6" i="39"/>
  <c r="CA6" i="39"/>
  <c r="BY6" i="39"/>
  <c r="BY3" i="39" s="1"/>
  <c r="BX6" i="39"/>
  <c r="BV6" i="39"/>
  <c r="BV3" i="39" s="1"/>
  <c r="BU6" i="39"/>
  <c r="BU3" i="39" s="1"/>
  <c r="BR6" i="39"/>
  <c r="BR3" i="39" s="1"/>
  <c r="BL6" i="39"/>
  <c r="BL3" i="39" s="1"/>
  <c r="BK6" i="39"/>
  <c r="BK3" i="39" s="1"/>
  <c r="BI6" i="39"/>
  <c r="BI3" i="39" s="1"/>
  <c r="BH6" i="39"/>
  <c r="BH3" i="39" s="1"/>
  <c r="BF6" i="39"/>
  <c r="BE6" i="39"/>
  <c r="BE3" i="39" s="1"/>
  <c r="BC6" i="39"/>
  <c r="BC3" i="39" s="1"/>
  <c r="BB6" i="39"/>
  <c r="AZ6" i="39"/>
  <c r="AZ3" i="39" s="1"/>
  <c r="AY6" i="39"/>
  <c r="AY3" i="39" s="1"/>
  <c r="AV6" i="39"/>
  <c r="AV3" i="39" s="1"/>
  <c r="AQ6" i="39"/>
  <c r="AP6" i="39"/>
  <c r="AO6" i="39"/>
  <c r="AO3" i="39" s="1"/>
  <c r="AM6" i="39"/>
  <c r="AL6" i="39"/>
  <c r="AL3" i="39" s="1"/>
  <c r="AJ6" i="39"/>
  <c r="AI6" i="39"/>
  <c r="AI3" i="39" s="1"/>
  <c r="AG6" i="39"/>
  <c r="AG3" i="39" s="1"/>
  <c r="AF6" i="39"/>
  <c r="AF3" i="39" s="1"/>
  <c r="AC6" i="39"/>
  <c r="AA6" i="39"/>
  <c r="Z6" i="39"/>
  <c r="Z3" i="39" s="1"/>
  <c r="S6" i="39"/>
  <c r="S3" i="39" s="1"/>
  <c r="Q6" i="39"/>
  <c r="P6" i="39"/>
  <c r="P3" i="39" s="1"/>
  <c r="M6" i="39"/>
  <c r="M3" i="39" s="1"/>
  <c r="K6" i="39"/>
  <c r="K3" i="39" s="1"/>
  <c r="J6" i="39"/>
  <c r="H6" i="39"/>
  <c r="G6" i="39"/>
  <c r="F6" i="39"/>
  <c r="E6" i="39"/>
  <c r="E3" i="39" s="1"/>
  <c r="D6" i="39"/>
  <c r="D3" i="39" s="1"/>
  <c r="DL5" i="39"/>
  <c r="DM5" i="39" s="1"/>
  <c r="DN5" i="39" s="1"/>
  <c r="DJ5" i="39"/>
  <c r="DK5" i="39" s="1"/>
  <c r="CQ5" i="39"/>
  <c r="CR5" i="39" s="1"/>
  <c r="CS5" i="39" s="1"/>
  <c r="CT5" i="39" s="1"/>
  <c r="CU5" i="39" s="1"/>
  <c r="CV5" i="39" s="1"/>
  <c r="CW5" i="39" s="1"/>
  <c r="CX5" i="39" s="1"/>
  <c r="CY5" i="39" s="1"/>
  <c r="CZ5" i="39" s="1"/>
  <c r="DA5" i="39" s="1"/>
  <c r="DB5" i="39" s="1"/>
  <c r="DC5" i="39" s="1"/>
  <c r="DD5" i="39" s="1"/>
  <c r="DE5" i="39" s="1"/>
  <c r="DF5" i="39" s="1"/>
  <c r="CP5" i="39"/>
  <c r="CO5" i="39"/>
  <c r="CN5" i="39"/>
  <c r="BR5" i="39"/>
  <c r="BS5" i="39" s="1"/>
  <c r="BT5" i="39" s="1"/>
  <c r="BU5" i="39" s="1"/>
  <c r="BV5" i="39" s="1"/>
  <c r="BW5" i="39" s="1"/>
  <c r="BX5" i="39" s="1"/>
  <c r="BY5" i="39" s="1"/>
  <c r="BZ5" i="39" s="1"/>
  <c r="CA5" i="39" s="1"/>
  <c r="CB5" i="39" s="1"/>
  <c r="CC5" i="39" s="1"/>
  <c r="CD5" i="39" s="1"/>
  <c r="CE5" i="39" s="1"/>
  <c r="CF5" i="39" s="1"/>
  <c r="CG5" i="39" s="1"/>
  <c r="CH5" i="39" s="1"/>
  <c r="CI5" i="39" s="1"/>
  <c r="CJ5" i="39" s="1"/>
  <c r="AX5" i="39"/>
  <c r="AY5" i="39" s="1"/>
  <c r="AZ5" i="39" s="1"/>
  <c r="BA5" i="39" s="1"/>
  <c r="BB5" i="39" s="1"/>
  <c r="BC5" i="39" s="1"/>
  <c r="BD5" i="39" s="1"/>
  <c r="BE5" i="39" s="1"/>
  <c r="BF5" i="39" s="1"/>
  <c r="BG5" i="39" s="1"/>
  <c r="BH5" i="39" s="1"/>
  <c r="BI5" i="39" s="1"/>
  <c r="BJ5" i="39" s="1"/>
  <c r="BK5" i="39" s="1"/>
  <c r="BL5" i="39" s="1"/>
  <c r="BM5" i="39" s="1"/>
  <c r="BN5" i="39" s="1"/>
  <c r="AW5" i="39"/>
  <c r="AV5" i="39"/>
  <c r="Z5" i="39"/>
  <c r="AA5" i="39" s="1"/>
  <c r="AB5" i="39" s="1"/>
  <c r="AC5" i="39" s="1"/>
  <c r="AD5" i="39" s="1"/>
  <c r="AE5" i="39" s="1"/>
  <c r="AF5" i="39" s="1"/>
  <c r="AG5" i="39" s="1"/>
  <c r="AH5" i="39" s="1"/>
  <c r="AI5" i="39" s="1"/>
  <c r="AJ5" i="39" s="1"/>
  <c r="AK5" i="39" s="1"/>
  <c r="AL5" i="39" s="1"/>
  <c r="AM5" i="39" s="1"/>
  <c r="AN5" i="39" s="1"/>
  <c r="AO5" i="39" s="1"/>
  <c r="AP5" i="39" s="1"/>
  <c r="AQ5" i="39" s="1"/>
  <c r="L5" i="39"/>
  <c r="M5" i="39" s="1"/>
  <c r="N5" i="39" s="1"/>
  <c r="O5" i="39" s="1"/>
  <c r="P5" i="39" s="1"/>
  <c r="Q5" i="39" s="1"/>
  <c r="R5" i="39" s="1"/>
  <c r="S5" i="39" s="1"/>
  <c r="T5" i="39" s="1"/>
  <c r="U5" i="39" s="1"/>
  <c r="V5" i="39" s="1"/>
  <c r="J5" i="39"/>
  <c r="K5" i="39" s="1"/>
  <c r="I5" i="39"/>
  <c r="F5" i="39"/>
  <c r="G5" i="39" s="1"/>
  <c r="H5" i="39" s="1"/>
  <c r="D5" i="39"/>
  <c r="E5" i="39" s="1"/>
  <c r="DF4" i="39"/>
  <c r="DG4" i="39" s="1"/>
  <c r="DH4" i="39" s="1"/>
  <c r="DI4" i="39" s="1"/>
  <c r="DJ4" i="39" s="1"/>
  <c r="DK4" i="39" s="1"/>
  <c r="DL4" i="39" s="1"/>
  <c r="DM4" i="39" s="1"/>
  <c r="DN4" i="39" s="1"/>
  <c r="CZ4" i="39"/>
  <c r="DA4" i="39" s="1"/>
  <c r="DB4" i="39" s="1"/>
  <c r="DC4" i="39" s="1"/>
  <c r="DD4" i="39" s="1"/>
  <c r="DE4" i="39" s="1"/>
  <c r="CT4" i="39"/>
  <c r="CU4" i="39" s="1"/>
  <c r="CV4" i="39" s="1"/>
  <c r="CW4" i="39" s="1"/>
  <c r="CX4" i="39" s="1"/>
  <c r="CY4" i="39" s="1"/>
  <c r="CS4" i="39"/>
  <c r="CN4" i="39"/>
  <c r="CO4" i="39" s="1"/>
  <c r="CP4" i="39" s="1"/>
  <c r="CQ4" i="39" s="1"/>
  <c r="CR4" i="39" s="1"/>
  <c r="CJ4" i="39"/>
  <c r="CK4" i="39" s="1"/>
  <c r="CL4" i="39" s="1"/>
  <c r="CM4" i="39" s="1"/>
  <c r="CD4" i="39"/>
  <c r="CE4" i="39" s="1"/>
  <c r="CF4" i="39" s="1"/>
  <c r="CG4" i="39" s="1"/>
  <c r="CH4" i="39" s="1"/>
  <c r="CI4" i="39" s="1"/>
  <c r="BX4" i="39"/>
  <c r="BY4" i="39" s="1"/>
  <c r="BZ4" i="39" s="1"/>
  <c r="CA4" i="39" s="1"/>
  <c r="CB4" i="39" s="1"/>
  <c r="CC4" i="39" s="1"/>
  <c r="BR4" i="39"/>
  <c r="BS4" i="39" s="1"/>
  <c r="BT4" i="39" s="1"/>
  <c r="BU4" i="39" s="1"/>
  <c r="BV4" i="39" s="1"/>
  <c r="BW4" i="39" s="1"/>
  <c r="BQ4" i="39"/>
  <c r="BP4" i="39"/>
  <c r="BO4" i="39"/>
  <c r="BN4" i="39"/>
  <c r="BJ4" i="39"/>
  <c r="BK4" i="39" s="1"/>
  <c r="BL4" i="39" s="1"/>
  <c r="BM4" i="39" s="1"/>
  <c r="BI4" i="39"/>
  <c r="BH4" i="39"/>
  <c r="BB4" i="39"/>
  <c r="BC4" i="39" s="1"/>
  <c r="BD4" i="39" s="1"/>
  <c r="BE4" i="39" s="1"/>
  <c r="BF4" i="39" s="1"/>
  <c r="BG4" i="39" s="1"/>
  <c r="AV4" i="39"/>
  <c r="AW4" i="39" s="1"/>
  <c r="AX4" i="39" s="1"/>
  <c r="AY4" i="39" s="1"/>
  <c r="AZ4" i="39" s="1"/>
  <c r="BA4" i="39" s="1"/>
  <c r="AR4" i="39"/>
  <c r="AS4" i="39" s="1"/>
  <c r="AT4" i="39" s="1"/>
  <c r="AU4" i="39" s="1"/>
  <c r="AL4" i="39"/>
  <c r="AM4" i="39" s="1"/>
  <c r="AN4" i="39" s="1"/>
  <c r="AO4" i="39" s="1"/>
  <c r="AP4" i="39" s="1"/>
  <c r="AQ4" i="39" s="1"/>
  <c r="AI4" i="39"/>
  <c r="AJ4" i="39" s="1"/>
  <c r="AK4" i="39" s="1"/>
  <c r="AF4" i="39"/>
  <c r="AG4" i="39" s="1"/>
  <c r="AH4" i="39" s="1"/>
  <c r="AC4" i="39"/>
  <c r="AD4" i="39" s="1"/>
  <c r="AE4" i="39" s="1"/>
  <c r="AB4" i="39"/>
  <c r="AA4" i="39"/>
  <c r="Z4" i="39"/>
  <c r="V4" i="39"/>
  <c r="W4" i="39" s="1"/>
  <c r="X4" i="39" s="1"/>
  <c r="Y4" i="39" s="1"/>
  <c r="P4" i="39"/>
  <c r="Q4" i="39" s="1"/>
  <c r="R4" i="39" s="1"/>
  <c r="S4" i="39" s="1"/>
  <c r="T4" i="39" s="1"/>
  <c r="U4" i="39" s="1"/>
  <c r="J4" i="39"/>
  <c r="K4" i="39" s="1"/>
  <c r="L4" i="39" s="1"/>
  <c r="M4" i="39" s="1"/>
  <c r="N4" i="39" s="1"/>
  <c r="O4" i="39" s="1"/>
  <c r="D4" i="39"/>
  <c r="E4" i="39" s="1"/>
  <c r="F4" i="39" s="1"/>
  <c r="G4" i="39" s="1"/>
  <c r="H4" i="39" s="1"/>
  <c r="I4" i="39" s="1"/>
  <c r="CU3" i="39"/>
  <c r="CT3" i="39"/>
  <c r="CO3" i="39"/>
  <c r="CH3" i="39"/>
  <c r="CB3" i="39"/>
  <c r="CA3" i="39"/>
  <c r="BX3" i="39"/>
  <c r="BF3" i="39"/>
  <c r="AW3" i="39"/>
  <c r="AP3" i="39"/>
  <c r="AM3" i="39"/>
  <c r="AJ3" i="39"/>
  <c r="AC3" i="39"/>
  <c r="AA3" i="39"/>
  <c r="Q3" i="39"/>
  <c r="J3" i="39"/>
  <c r="H3" i="39"/>
  <c r="G3" i="39"/>
  <c r="DM1" i="39"/>
  <c r="DL1" i="39"/>
  <c r="DK1" i="39"/>
  <c r="DJ1" i="39"/>
  <c r="DI1" i="39"/>
  <c r="DH1" i="39"/>
  <c r="DG1" i="39"/>
  <c r="DF1" i="39"/>
  <c r="DE1" i="39"/>
  <c r="DD1" i="39"/>
  <c r="DC1" i="39"/>
  <c r="DB1" i="39"/>
  <c r="DA1" i="39"/>
  <c r="CZ1" i="39"/>
  <c r="CY1" i="39"/>
  <c r="CX1" i="39"/>
  <c r="CW1" i="39"/>
  <c r="CV1" i="39"/>
  <c r="CU1" i="39"/>
  <c r="CT1" i="39"/>
  <c r="CS1" i="39"/>
  <c r="CR1" i="39"/>
  <c r="CQ1" i="39"/>
  <c r="CP1" i="39"/>
  <c r="CO1" i="39"/>
  <c r="CN1" i="39"/>
  <c r="CM1" i="39"/>
  <c r="CL1" i="39"/>
  <c r="CK1" i="39"/>
  <c r="CJ1" i="39"/>
  <c r="CI1" i="39"/>
  <c r="CH1" i="39"/>
  <c r="CG1" i="39"/>
  <c r="CF1" i="39"/>
  <c r="CE1" i="39"/>
  <c r="CD1" i="39"/>
  <c r="CC1" i="39"/>
  <c r="CB1" i="39"/>
  <c r="CA1" i="39"/>
  <c r="BZ1" i="39"/>
  <c r="BY1" i="39"/>
  <c r="BX1" i="39"/>
  <c r="BW1" i="39"/>
  <c r="BV1" i="39"/>
  <c r="BU1" i="39"/>
  <c r="BT1" i="39"/>
  <c r="BS1" i="39"/>
  <c r="BR1" i="39"/>
  <c r="BQ1" i="39"/>
  <c r="BP1" i="39"/>
  <c r="BO1" i="39"/>
  <c r="BN1" i="39"/>
  <c r="BM1" i="39"/>
  <c r="BL1" i="39"/>
  <c r="BK1" i="39"/>
  <c r="BJ1" i="39"/>
  <c r="BI1" i="39"/>
  <c r="BH1" i="39"/>
  <c r="BG1" i="39"/>
  <c r="BF1" i="39"/>
  <c r="BE1" i="39"/>
  <c r="BD1" i="39"/>
  <c r="BC1" i="39"/>
  <c r="BB1" i="39"/>
  <c r="BA1" i="39"/>
  <c r="AZ1" i="39"/>
  <c r="AY1" i="39"/>
  <c r="AX1" i="39"/>
  <c r="AW1" i="39"/>
  <c r="AV1" i="39"/>
  <c r="AU1" i="39"/>
  <c r="AT1" i="39"/>
  <c r="AS1" i="39"/>
  <c r="AR1" i="39"/>
  <c r="AQ1" i="39"/>
  <c r="AP1" i="39"/>
  <c r="AO1" i="39"/>
  <c r="AN1" i="39"/>
  <c r="AM1" i="39"/>
  <c r="AL1" i="39"/>
  <c r="AK1" i="39"/>
  <c r="AJ1" i="39"/>
  <c r="AI1" i="39"/>
  <c r="AH1" i="39"/>
  <c r="AG1" i="39"/>
  <c r="AF1" i="39"/>
  <c r="AE1" i="39"/>
  <c r="AD1" i="39"/>
  <c r="AC1" i="39"/>
  <c r="AB1" i="39"/>
  <c r="AA1" i="39"/>
  <c r="Z1" i="39"/>
  <c r="Y1" i="39"/>
  <c r="X1" i="39"/>
  <c r="W1" i="39"/>
  <c r="V1" i="39"/>
  <c r="U1" i="39"/>
  <c r="T1" i="39"/>
  <c r="S1" i="39"/>
  <c r="R1" i="39"/>
  <c r="Q1" i="39"/>
  <c r="P1" i="39"/>
  <c r="O1" i="39"/>
  <c r="N1" i="39"/>
  <c r="M1" i="39"/>
  <c r="L1" i="39"/>
  <c r="K1" i="39"/>
  <c r="J1" i="39"/>
  <c r="G1" i="39" a="1"/>
  <c r="G1" i="39" s="1"/>
  <c r="W7" i="38"/>
  <c r="X7" i="38" s="1"/>
  <c r="T7" i="38"/>
  <c r="S7" i="38"/>
  <c r="O7" i="38"/>
  <c r="K7" i="38"/>
  <c r="G7" i="38"/>
  <c r="H7" i="38" s="1"/>
  <c r="I7" i="38" s="1"/>
  <c r="J7" i="38" s="1"/>
  <c r="D7" i="38"/>
  <c r="E7" i="38" s="1"/>
  <c r="F7" i="38" s="1"/>
  <c r="C7" i="38"/>
  <c r="W6" i="38"/>
  <c r="S6" i="38"/>
  <c r="I6" i="38"/>
  <c r="H6" i="38"/>
  <c r="G6" i="38"/>
  <c r="Z77" i="44" a="1"/>
  <c r="G65" i="27" a="1"/>
  <c r="G61" i="27" a="1"/>
  <c r="Z78" i="44" a="1"/>
  <c r="U78" i="44" a="1"/>
  <c r="AA79" i="44"/>
  <c r="G66" i="27" a="1"/>
  <c r="V78" i="44"/>
  <c r="Y113" i="44" a="1"/>
  <c r="AD74" i="44"/>
  <c r="G62" i="27" a="1"/>
  <c r="Z75" i="44" a="1"/>
  <c r="AA78" i="44"/>
  <c r="Z79" i="44" a="1"/>
  <c r="G64" i="27" a="1"/>
  <c r="AA74" i="44"/>
  <c r="Z73" i="44" a="1"/>
  <c r="AA77" i="44"/>
  <c r="AD79" i="44"/>
  <c r="AD73" i="44"/>
  <c r="AD76" i="44"/>
  <c r="G63" i="27" a="1"/>
  <c r="AD77" i="44"/>
  <c r="AA73" i="44"/>
  <c r="Z74" i="44" a="1"/>
  <c r="G67" i="27" a="1"/>
  <c r="AD78" i="44"/>
  <c r="AA75" i="44"/>
  <c r="AA76" i="44"/>
  <c r="Z76" i="44" a="1"/>
  <c r="AD75" i="44"/>
  <c r="BB3" i="39" l="1"/>
  <c r="BN37" i="39"/>
  <c r="BN25" i="39"/>
  <c r="BN13" i="39"/>
  <c r="BN24" i="39"/>
  <c r="BN35" i="39"/>
  <c r="BN23" i="39"/>
  <c r="BN34" i="39"/>
  <c r="BN22" i="39"/>
  <c r="BN30" i="39"/>
  <c r="BN33" i="39"/>
  <c r="BN21" i="39"/>
  <c r="BN42" i="39"/>
  <c r="BN32" i="39"/>
  <c r="BN20" i="39"/>
  <c r="BN18" i="39"/>
  <c r="BN31" i="39"/>
  <c r="BN19" i="39"/>
  <c r="BN41" i="39"/>
  <c r="BN29" i="39"/>
  <c r="BN17" i="39"/>
  <c r="BN14" i="39"/>
  <c r="BN40" i="39"/>
  <c r="BN28" i="39"/>
  <c r="BN16" i="39"/>
  <c r="BN36" i="39"/>
  <c r="BN39" i="39"/>
  <c r="BN27" i="39"/>
  <c r="BN15" i="39"/>
  <c r="BN26" i="39"/>
  <c r="BN38" i="39"/>
  <c r="Z79" i="44"/>
  <c r="G67" i="27"/>
  <c r="N53" i="45"/>
  <c r="F143" i="45"/>
  <c r="F146" i="45"/>
  <c r="N56" i="45"/>
  <c r="G65" i="27"/>
  <c r="Z77" i="44"/>
  <c r="AL51" i="40"/>
  <c r="AN51" i="40" s="1"/>
  <c r="AN31" i="40" s="1"/>
  <c r="AL52" i="40"/>
  <c r="AN52" i="40" s="1"/>
  <c r="N55" i="45"/>
  <c r="F145" i="45"/>
  <c r="Z73" i="44"/>
  <c r="G61" i="27"/>
  <c r="AF52" i="40"/>
  <c r="AH52" i="40" s="1"/>
  <c r="F144" i="45"/>
  <c r="N54" i="45"/>
  <c r="G62" i="27"/>
  <c r="Z74" i="44"/>
  <c r="Z53" i="40"/>
  <c r="AB53" i="40" s="1"/>
  <c r="Z52" i="40"/>
  <c r="AB52" i="40" s="1"/>
  <c r="AB39" i="40" s="1"/>
  <c r="Z51" i="40"/>
  <c r="AB51" i="40" s="1"/>
  <c r="AB21" i="40" s="1"/>
  <c r="Z50" i="40"/>
  <c r="AB50" i="40" s="1"/>
  <c r="AB34" i="40" s="1"/>
  <c r="F140" i="45"/>
  <c r="N50" i="45"/>
  <c r="Z76" i="44"/>
  <c r="G64" i="27"/>
  <c r="Z75" i="44"/>
  <c r="G63" i="27"/>
  <c r="N51" i="45"/>
  <c r="F141" i="45"/>
  <c r="Y113" i="44"/>
  <c r="G66" i="27"/>
  <c r="Z78" i="44"/>
  <c r="U78" i="44"/>
  <c r="N52" i="45"/>
  <c r="F142" i="45"/>
  <c r="G52" i="45"/>
  <c r="F90" i="45"/>
  <c r="DE3" i="39"/>
  <c r="O6" i="38"/>
  <c r="K6" i="38"/>
  <c r="M27" i="40"/>
  <c r="AQ32" i="40"/>
  <c r="AQ44" i="40"/>
  <c r="AK37" i="40"/>
  <c r="M39" i="40"/>
  <c r="M23" i="40"/>
  <c r="M43" i="40"/>
  <c r="M35" i="40"/>
  <c r="AQ20" i="40"/>
  <c r="M22" i="40"/>
  <c r="AB31" i="40"/>
  <c r="AB23" i="40"/>
  <c r="AQ19" i="40"/>
  <c r="M41" i="40"/>
  <c r="AB18" i="40"/>
  <c r="AK39" i="40"/>
  <c r="M25" i="40"/>
  <c r="M38" i="40"/>
  <c r="AA3" i="41"/>
  <c r="BO5" i="39"/>
  <c r="BP5" i="39" s="1"/>
  <c r="DG5" i="39"/>
  <c r="DH5" i="39" s="1"/>
  <c r="BW20" i="39"/>
  <c r="BW28" i="39"/>
  <c r="BW22" i="39"/>
  <c r="U20" i="39"/>
  <c r="U35" i="39"/>
  <c r="U32" i="39"/>
  <c r="U17" i="39"/>
  <c r="U26" i="39"/>
  <c r="U25" i="39"/>
  <c r="U29" i="39"/>
  <c r="U36" i="39"/>
  <c r="U40" i="39"/>
  <c r="U31" i="39"/>
  <c r="AB18" i="39"/>
  <c r="AB28" i="39"/>
  <c r="AB22" i="39"/>
  <c r="AB38" i="39"/>
  <c r="BQ7" i="39"/>
  <c r="D48" i="39"/>
  <c r="D50" i="39"/>
  <c r="D47" i="39"/>
  <c r="D49" i="39"/>
  <c r="BZ38" i="39"/>
  <c r="BZ30" i="39"/>
  <c r="BZ31" i="39"/>
  <c r="BZ24" i="39"/>
  <c r="BZ14" i="39"/>
  <c r="BZ41" i="39"/>
  <c r="BZ22" i="39"/>
  <c r="BZ20" i="39"/>
  <c r="BZ37" i="39"/>
  <c r="BZ19" i="39"/>
  <c r="F3" i="39"/>
  <c r="W24" i="43"/>
  <c r="P7" i="38"/>
  <c r="Y7" i="38"/>
  <c r="X6" i="38"/>
  <c r="W5" i="39"/>
  <c r="X5" i="39" s="1"/>
  <c r="AR5" i="39"/>
  <c r="AQ3" i="39"/>
  <c r="CK5" i="39"/>
  <c r="CL5" i="39" s="1"/>
  <c r="U27" i="39"/>
  <c r="U37" i="39"/>
  <c r="BE49" i="39"/>
  <c r="BG49" i="39" s="1"/>
  <c r="BE48" i="39"/>
  <c r="BG48" i="39" s="1"/>
  <c r="BE47" i="39"/>
  <c r="BG47" i="39" s="1"/>
  <c r="BE50" i="39"/>
  <c r="BG50" i="39" s="1"/>
  <c r="Y3" i="40"/>
  <c r="AT3" i="40"/>
  <c r="S3" i="40"/>
  <c r="AN3" i="40"/>
  <c r="AQ3" i="40"/>
  <c r="CV22" i="39"/>
  <c r="CV25" i="39"/>
  <c r="CV32" i="39"/>
  <c r="CV23" i="39"/>
  <c r="CV16" i="39"/>
  <c r="CV35" i="39"/>
  <c r="CV42" i="39"/>
  <c r="CV13" i="39"/>
  <c r="CV6" i="39" s="1"/>
  <c r="CV3" i="39" s="1"/>
  <c r="CV41" i="39"/>
  <c r="CV21" i="39"/>
  <c r="CV17" i="39"/>
  <c r="CV38" i="39"/>
  <c r="CV31" i="39"/>
  <c r="CV18" i="39"/>
  <c r="CV24" i="39"/>
  <c r="CV36" i="39"/>
  <c r="CV28" i="39"/>
  <c r="CV15" i="39"/>
  <c r="CV19" i="39"/>
  <c r="CV29" i="39"/>
  <c r="CV33" i="39"/>
  <c r="AU7" i="39"/>
  <c r="CY27" i="39"/>
  <c r="CY39" i="39"/>
  <c r="CY34" i="39"/>
  <c r="CY26" i="39"/>
  <c r="W7" i="39"/>
  <c r="X26" i="41"/>
  <c r="X23" i="41"/>
  <c r="X28" i="41"/>
  <c r="X34" i="41"/>
  <c r="X38" i="41"/>
  <c r="X37" i="41"/>
  <c r="X18" i="41"/>
  <c r="X24" i="41"/>
  <c r="X15" i="41"/>
  <c r="X12" i="41"/>
  <c r="X40" i="41"/>
  <c r="X16" i="41"/>
  <c r="X41" i="41"/>
  <c r="X35" i="41"/>
  <c r="X19" i="41"/>
  <c r="X33" i="41"/>
  <c r="X22" i="41"/>
  <c r="X21" i="41"/>
  <c r="X14" i="41"/>
  <c r="X36" i="41"/>
  <c r="X31" i="41"/>
  <c r="X27" i="41"/>
  <c r="X25" i="41"/>
  <c r="X13" i="41"/>
  <c r="X39" i="41"/>
  <c r="X30" i="41"/>
  <c r="X29" i="41"/>
  <c r="X32" i="41"/>
  <c r="Y7" i="41"/>
  <c r="X20" i="41"/>
  <c r="BC29" i="42"/>
  <c r="AI21" i="43"/>
  <c r="AN13" i="39"/>
  <c r="AN6" i="39" s="1"/>
  <c r="AN3" i="39" s="1"/>
  <c r="CD49" i="39"/>
  <c r="CF49" i="39" s="1"/>
  <c r="CD50" i="39"/>
  <c r="CF50" i="39" s="1"/>
  <c r="CD47" i="39"/>
  <c r="CF47" i="39" s="1"/>
  <c r="CD48" i="39"/>
  <c r="CF48" i="39" s="1"/>
  <c r="AK17" i="40"/>
  <c r="AK27" i="40"/>
  <c r="AK35" i="40"/>
  <c r="AK34" i="40"/>
  <c r="AK19" i="40"/>
  <c r="AK25" i="40"/>
  <c r="AK44" i="40"/>
  <c r="CY32" i="39"/>
  <c r="G49" i="39"/>
  <c r="I49" i="39" s="1"/>
  <c r="G47" i="39"/>
  <c r="I47" i="39" s="1"/>
  <c r="G50" i="39"/>
  <c r="I50" i="39" s="1"/>
  <c r="G69" i="39"/>
  <c r="G48" i="39"/>
  <c r="I48" i="39" s="1"/>
  <c r="J47" i="39"/>
  <c r="L47" i="39" s="1"/>
  <c r="J50" i="39"/>
  <c r="L50" i="39" s="1"/>
  <c r="J48" i="39"/>
  <c r="L48" i="39" s="1"/>
  <c r="J49" i="39"/>
  <c r="L49" i="39" s="1"/>
  <c r="K3" i="41"/>
  <c r="R27" i="39"/>
  <c r="R34" i="39"/>
  <c r="R37" i="39"/>
  <c r="DG7" i="39"/>
  <c r="AI23" i="43"/>
  <c r="BA28" i="42"/>
  <c r="CK7" i="39"/>
  <c r="AB17" i="39"/>
  <c r="AB24" i="39"/>
  <c r="AB40" i="39"/>
  <c r="AB26" i="39"/>
  <c r="AB13" i="39"/>
  <c r="AB6" i="39" s="1"/>
  <c r="AB3" i="39" s="1"/>
  <c r="AB37" i="39"/>
  <c r="AB14" i="39"/>
  <c r="AB36" i="39"/>
  <c r="AK42" i="39"/>
  <c r="AK32" i="39"/>
  <c r="AK37" i="39"/>
  <c r="AK33" i="39"/>
  <c r="AK22" i="39"/>
  <c r="BA17" i="42"/>
  <c r="BA29" i="42"/>
  <c r="CM7" i="39"/>
  <c r="BD40" i="39"/>
  <c r="BD30" i="39"/>
  <c r="BD39" i="39"/>
  <c r="BD29" i="39"/>
  <c r="BD15" i="39"/>
  <c r="BD42" i="39"/>
  <c r="BD33" i="39"/>
  <c r="BD13" i="39"/>
  <c r="BD6" i="39" s="1"/>
  <c r="BD3" i="39" s="1"/>
  <c r="BD36" i="39"/>
  <c r="BD14" i="39"/>
  <c r="BD28" i="39"/>
  <c r="BD22" i="39"/>
  <c r="BD38" i="39"/>
  <c r="BD25" i="39"/>
  <c r="BD37" i="39"/>
  <c r="BD26" i="39"/>
  <c r="BD41" i="39"/>
  <c r="BD34" i="39"/>
  <c r="BD21" i="39"/>
  <c r="BD27" i="39"/>
  <c r="BD31" i="39"/>
  <c r="BD24" i="39"/>
  <c r="BD35" i="39"/>
  <c r="BD23" i="39"/>
  <c r="BD19" i="39"/>
  <c r="BD17" i="39"/>
  <c r="BC42" i="42"/>
  <c r="AN35" i="39"/>
  <c r="AN25" i="39"/>
  <c r="AN34" i="39"/>
  <c r="AN24" i="39"/>
  <c r="AN40" i="39"/>
  <c r="AN18" i="39"/>
  <c r="AN36" i="39"/>
  <c r="AN37" i="39"/>
  <c r="AN30" i="39"/>
  <c r="AN16" i="39"/>
  <c r="AN20" i="39"/>
  <c r="AN17" i="39"/>
  <c r="AN21" i="39"/>
  <c r="AN32" i="39"/>
  <c r="AN15" i="39"/>
  <c r="AN14" i="39"/>
  <c r="AN33" i="39"/>
  <c r="AN38" i="39"/>
  <c r="AN26" i="39"/>
  <c r="AN42" i="39"/>
  <c r="AN28" i="39"/>
  <c r="AN31" i="39"/>
  <c r="AN39" i="39"/>
  <c r="E3" i="41"/>
  <c r="BJ48" i="39"/>
  <c r="BJ19" i="39" a="1"/>
  <c r="BJ19" i="39" s="1"/>
  <c r="BJ15" i="39" a="1"/>
  <c r="BJ15" i="39" s="1"/>
  <c r="BJ30" i="39" a="1"/>
  <c r="BJ30" i="39" s="1"/>
  <c r="BJ42" i="39" a="1"/>
  <c r="BJ42" i="39" s="1"/>
  <c r="BJ16" i="39" a="1"/>
  <c r="BJ16" i="39" s="1"/>
  <c r="BJ27" i="39" a="1"/>
  <c r="BJ27" i="39" s="1"/>
  <c r="BJ23" i="39" a="1"/>
  <c r="BJ23" i="39" s="1"/>
  <c r="BJ41" i="39" a="1"/>
  <c r="BJ41" i="39" s="1"/>
  <c r="BJ22" i="39" a="1"/>
  <c r="BJ22" i="39" s="1"/>
  <c r="BJ21" i="39" a="1"/>
  <c r="BJ21" i="39" s="1"/>
  <c r="BJ31" i="39" a="1"/>
  <c r="BJ31" i="39" s="1"/>
  <c r="BJ20" i="39" a="1"/>
  <c r="BJ20" i="39" s="1"/>
  <c r="BJ39" i="39" a="1"/>
  <c r="BJ39" i="39" s="1"/>
  <c r="BJ17" i="39" a="1"/>
  <c r="BJ17" i="39" s="1"/>
  <c r="BJ40" i="39" a="1"/>
  <c r="BJ40" i="39" s="1"/>
  <c r="BJ13" i="39" a="1"/>
  <c r="BJ13" i="39" s="1"/>
  <c r="BJ6" i="39" s="1"/>
  <c r="BJ3" i="39" s="1"/>
  <c r="BJ38" i="39" a="1"/>
  <c r="BJ38" i="39" s="1"/>
  <c r="CY14" i="39"/>
  <c r="AL48" i="39"/>
  <c r="AL49" i="39"/>
  <c r="AL47" i="39"/>
  <c r="X17" i="41"/>
  <c r="AC53" i="40"/>
  <c r="AE53" i="40" s="1"/>
  <c r="AC50" i="40"/>
  <c r="AE50" i="40" s="1"/>
  <c r="AC51" i="40"/>
  <c r="AE51" i="40" s="1"/>
  <c r="W23" i="43"/>
  <c r="AG24" i="43"/>
  <c r="L7" i="38"/>
  <c r="BO7" i="39"/>
  <c r="AV49" i="39"/>
  <c r="AX49" i="39" s="1"/>
  <c r="AV48" i="39"/>
  <c r="AX48" i="39" s="1"/>
  <c r="AV47" i="39"/>
  <c r="AX47" i="39" s="1"/>
  <c r="AV50" i="39"/>
  <c r="AX50" i="39" s="1"/>
  <c r="BM42" i="39"/>
  <c r="BM41" i="39"/>
  <c r="BM31" i="39"/>
  <c r="BM21" i="39"/>
  <c r="BM33" i="39"/>
  <c r="BM13" i="39"/>
  <c r="BM6" i="39" s="1"/>
  <c r="BM3" i="39" s="1"/>
  <c r="BM35" i="39"/>
  <c r="BM40" i="39"/>
  <c r="BM28" i="39"/>
  <c r="BM17" i="39"/>
  <c r="BM30" i="39"/>
  <c r="BM25" i="39"/>
  <c r="BM32" i="39"/>
  <c r="BM16" i="39"/>
  <c r="BM23" i="39"/>
  <c r="BM20" i="39"/>
  <c r="BM27" i="39"/>
  <c r="BM39" i="39"/>
  <c r="BM19" i="39"/>
  <c r="U37" i="43"/>
  <c r="V3" i="40"/>
  <c r="BA16" i="42"/>
  <c r="BT40" i="39"/>
  <c r="BT30" i="39"/>
  <c r="BT20" i="39"/>
  <c r="BT28" i="39"/>
  <c r="BT27" i="39"/>
  <c r="BT41" i="39"/>
  <c r="BT37" i="39"/>
  <c r="BT23" i="39"/>
  <c r="BT15" i="39"/>
  <c r="BT42" i="39"/>
  <c r="BT31" i="39"/>
  <c r="BT29" i="39"/>
  <c r="BT34" i="39"/>
  <c r="BT18" i="39"/>
  <c r="BT24" i="39"/>
  <c r="BT17" i="39"/>
  <c r="BT35" i="39"/>
  <c r="BT36" i="39"/>
  <c r="BT25" i="39"/>
  <c r="BT33" i="39"/>
  <c r="AI47" i="39"/>
  <c r="AK47" i="39" s="1"/>
  <c r="AI50" i="39"/>
  <c r="AK50" i="39" s="1"/>
  <c r="AI49" i="39"/>
  <c r="AK49" i="39" s="1"/>
  <c r="CQ49" i="39"/>
  <c r="CS49" i="39" s="1"/>
  <c r="CQ50" i="39"/>
  <c r="CS50" i="39" s="1"/>
  <c r="CQ48" i="39"/>
  <c r="CS48" i="39" s="1"/>
  <c r="U7" i="38"/>
  <c r="T6" i="38"/>
  <c r="BM34" i="39"/>
  <c r="BM38" i="39"/>
  <c r="E53" i="40"/>
  <c r="G53" i="40" s="1"/>
  <c r="E52" i="40"/>
  <c r="G52" i="40" s="1"/>
  <c r="E50" i="40"/>
  <c r="G50" i="40" s="1"/>
  <c r="E51" i="40"/>
  <c r="G51" i="40" s="1"/>
  <c r="AQ22" i="42"/>
  <c r="Y7" i="39"/>
  <c r="BM15" i="39"/>
  <c r="AY47" i="39"/>
  <c r="BA47" i="39" s="1"/>
  <c r="AY50" i="39"/>
  <c r="BA50" i="39" s="1"/>
  <c r="AY49" i="39"/>
  <c r="BA49" i="39" s="1"/>
  <c r="AY48" i="39"/>
  <c r="BA48" i="39" s="1"/>
  <c r="CZ48" i="39"/>
  <c r="DB48" i="39" s="1"/>
  <c r="CZ47" i="39"/>
  <c r="DB47" i="39" s="1"/>
  <c r="CZ49" i="39"/>
  <c r="DB49" i="39" s="1"/>
  <c r="P45" i="40"/>
  <c r="P24" i="40"/>
  <c r="P19" i="40"/>
  <c r="P39" i="40"/>
  <c r="P37" i="40"/>
  <c r="P35" i="40"/>
  <c r="P28" i="40"/>
  <c r="DC48" i="39"/>
  <c r="DE48" i="39" s="1"/>
  <c r="DC47" i="39"/>
  <c r="DE47" i="39" s="1"/>
  <c r="BT3" i="39"/>
  <c r="CY35" i="39"/>
  <c r="CY20" i="39"/>
  <c r="CY42" i="39"/>
  <c r="CY29" i="39"/>
  <c r="G3" i="40"/>
  <c r="AU3" i="40"/>
  <c r="AZ3" i="43"/>
  <c r="AF3" i="43"/>
  <c r="L3" i="43"/>
  <c r="AN3" i="43"/>
  <c r="AL3" i="43"/>
  <c r="T3" i="43"/>
  <c r="AP3" i="43"/>
  <c r="P3" i="43"/>
  <c r="U36" i="43"/>
  <c r="BU50" i="39"/>
  <c r="BW50" i="39" s="1"/>
  <c r="BW38" i="39" s="1"/>
  <c r="BU47" i="39"/>
  <c r="BW47" i="39" s="1"/>
  <c r="BW41" i="39" s="1"/>
  <c r="AB3" i="40"/>
  <c r="AN40" i="40"/>
  <c r="AN43" i="40"/>
  <c r="AN41" i="40"/>
  <c r="AN28" i="40"/>
  <c r="AN18" i="40"/>
  <c r="AN21" i="40"/>
  <c r="AN16" i="40"/>
  <c r="M3" i="41"/>
  <c r="BA35" i="42"/>
  <c r="D3" i="43"/>
  <c r="AI19" i="43"/>
  <c r="O38" i="39"/>
  <c r="O28" i="39"/>
  <c r="O37" i="39"/>
  <c r="O27" i="39"/>
  <c r="O29" i="39"/>
  <c r="O41" i="39"/>
  <c r="O31" i="39"/>
  <c r="O24" i="39"/>
  <c r="O22" i="39"/>
  <c r="O42" i="39"/>
  <c r="O39" i="39"/>
  <c r="O36" i="39"/>
  <c r="O26" i="39"/>
  <c r="O13" i="39"/>
  <c r="O6" i="39" s="1"/>
  <c r="O3" i="39" s="1"/>
  <c r="O33" i="39"/>
  <c r="O21" i="39"/>
  <c r="S3" i="41"/>
  <c r="O3" i="41"/>
  <c r="I3" i="41"/>
  <c r="G3" i="41"/>
  <c r="AC3" i="41"/>
  <c r="AI40" i="43"/>
  <c r="CY17" i="39"/>
  <c r="O23" i="39"/>
  <c r="F41" i="39"/>
  <c r="BX47" i="39"/>
  <c r="BZ47" i="39" s="1"/>
  <c r="BZ17" i="39" s="1"/>
  <c r="BX50" i="39"/>
  <c r="BZ50" i="39" s="1"/>
  <c r="BZ34" i="39" s="1"/>
  <c r="AW3" i="40"/>
  <c r="CY18" i="39"/>
  <c r="F20" i="39"/>
  <c r="F31" i="39"/>
  <c r="F36" i="39"/>
  <c r="F26" i="39"/>
  <c r="R41" i="39"/>
  <c r="R31" i="39"/>
  <c r="R40" i="39"/>
  <c r="R30" i="39"/>
  <c r="R15" i="39"/>
  <c r="R32" i="39"/>
  <c r="R25" i="39"/>
  <c r="R21" i="39"/>
  <c r="R13" i="39"/>
  <c r="R6" i="39" s="1"/>
  <c r="R3" i="39" s="1"/>
  <c r="R33" i="39"/>
  <c r="R38" i="39"/>
  <c r="R18" i="39"/>
  <c r="R14" i="39"/>
  <c r="R28" i="39"/>
  <c r="R22" i="39"/>
  <c r="R42" i="39"/>
  <c r="BU49" i="39"/>
  <c r="BW49" i="39" s="1"/>
  <c r="BW24" i="39" s="1"/>
  <c r="AE3" i="40"/>
  <c r="K53" i="40"/>
  <c r="K51" i="40"/>
  <c r="K50" i="40"/>
  <c r="K52" i="40"/>
  <c r="AL3" i="42"/>
  <c r="L3" i="42"/>
  <c r="AF3" i="42"/>
  <c r="X3" i="42"/>
  <c r="AZ3" i="42"/>
  <c r="V3" i="42"/>
  <c r="R3" i="42"/>
  <c r="AP3" i="42"/>
  <c r="AJ3" i="42"/>
  <c r="Z3" i="42"/>
  <c r="AR3" i="42"/>
  <c r="BB13" i="42"/>
  <c r="E7" i="39"/>
  <c r="CY19" i="39"/>
  <c r="AC50" i="39"/>
  <c r="AE50" i="39" s="1"/>
  <c r="AC48" i="39"/>
  <c r="AE48" i="39" s="1"/>
  <c r="N52" i="40"/>
  <c r="P52" i="40" s="1"/>
  <c r="N53" i="40"/>
  <c r="P53" i="40" s="1"/>
  <c r="P38" i="40" s="1"/>
  <c r="N50" i="40"/>
  <c r="P50" i="40" s="1"/>
  <c r="P23" i="40" s="1"/>
  <c r="BG7" i="42"/>
  <c r="AQ15" i="42"/>
  <c r="AE34" i="42"/>
  <c r="AI39" i="43"/>
  <c r="AI18" i="43"/>
  <c r="CY31" i="39"/>
  <c r="U34" i="39"/>
  <c r="U24" i="39"/>
  <c r="U33" i="39"/>
  <c r="U23" i="39"/>
  <c r="U30" i="39"/>
  <c r="U16" i="39"/>
  <c r="U38" i="39"/>
  <c r="U42" i="39"/>
  <c r="U39" i="39"/>
  <c r="U14" i="39"/>
  <c r="U21" i="39"/>
  <c r="U18" i="39"/>
  <c r="U28" i="39"/>
  <c r="U22" i="39"/>
  <c r="U19" i="39"/>
  <c r="U15" i="39"/>
  <c r="AF50" i="39"/>
  <c r="AH50" i="39" s="1"/>
  <c r="AF49" i="39"/>
  <c r="AH49" i="39" s="1"/>
  <c r="AF48" i="39"/>
  <c r="AH48" i="39" s="1"/>
  <c r="CG47" i="39"/>
  <c r="CI47" i="39" s="1"/>
  <c r="CG50" i="39"/>
  <c r="CI50" i="39" s="1"/>
  <c r="CG49" i="39"/>
  <c r="CI49" i="39" s="1"/>
  <c r="CG48" i="39"/>
  <c r="CI48" i="39" s="1"/>
  <c r="AN22" i="40"/>
  <c r="Q52" i="40"/>
  <c r="S52" i="40" s="1"/>
  <c r="Q51" i="40"/>
  <c r="S51" i="40" s="1"/>
  <c r="Q53" i="40"/>
  <c r="S53" i="40" s="1"/>
  <c r="Q50" i="40"/>
  <c r="S50" i="40" s="1"/>
  <c r="U3" i="41"/>
  <c r="O34" i="39"/>
  <c r="AB33" i="39"/>
  <c r="AB23" i="39"/>
  <c r="AB42" i="39"/>
  <c r="AB32" i="39"/>
  <c r="AB34" i="39"/>
  <c r="AB35" i="39"/>
  <c r="AB19" i="39"/>
  <c r="AB27" i="39"/>
  <c r="AB30" i="39"/>
  <c r="AB15" i="39"/>
  <c r="AB25" i="39"/>
  <c r="AB41" i="39"/>
  <c r="AB16" i="39"/>
  <c r="J7" i="40"/>
  <c r="AQ28" i="40"/>
  <c r="AQ31" i="40"/>
  <c r="AQ42" i="40"/>
  <c r="AQ36" i="40"/>
  <c r="AQ21" i="40"/>
  <c r="AQ29" i="40"/>
  <c r="AQ25" i="40"/>
  <c r="AQ40" i="40"/>
  <c r="AQ35" i="40"/>
  <c r="AQ17" i="40"/>
  <c r="AQ24" i="40"/>
  <c r="AQ23" i="40"/>
  <c r="T51" i="40"/>
  <c r="V51" i="40" s="1"/>
  <c r="T50" i="40"/>
  <c r="V50" i="40" s="1"/>
  <c r="T53" i="40"/>
  <c r="V53" i="40" s="1"/>
  <c r="T52" i="40"/>
  <c r="V52" i="40" s="1"/>
  <c r="CA48" i="39"/>
  <c r="CC48" i="39" s="1"/>
  <c r="CA50" i="39"/>
  <c r="CC50" i="39" s="1"/>
  <c r="CA49" i="39"/>
  <c r="CC49" i="39" s="1"/>
  <c r="CA47" i="39"/>
  <c r="CC47" i="39" s="1"/>
  <c r="H52" i="40"/>
  <c r="J52" i="40" s="1"/>
  <c r="H53" i="40"/>
  <c r="J53" i="40" s="1"/>
  <c r="H51" i="40"/>
  <c r="J51" i="40" s="1"/>
  <c r="H50" i="40"/>
  <c r="J50" i="40" s="1"/>
  <c r="U13" i="39"/>
  <c r="U6" i="39" s="1"/>
  <c r="U3" i="39" s="1"/>
  <c r="AB20" i="39"/>
  <c r="O30" i="39"/>
  <c r="AB31" i="39"/>
  <c r="AB39" i="39"/>
  <c r="U41" i="39"/>
  <c r="CN48" i="39"/>
  <c r="CP48" i="39" s="1"/>
  <c r="CN49" i="39"/>
  <c r="CP49" i="39" s="1"/>
  <c r="CN50" i="39"/>
  <c r="CP50" i="39" s="1"/>
  <c r="W51" i="40"/>
  <c r="Y51" i="40" s="1"/>
  <c r="W53" i="40"/>
  <c r="Y53" i="40" s="1"/>
  <c r="W52" i="40"/>
  <c r="Y52" i="40" s="1"/>
  <c r="W50" i="40"/>
  <c r="Y50" i="40" s="1"/>
  <c r="W3" i="41"/>
  <c r="T3" i="42"/>
  <c r="AN3" i="42"/>
  <c r="AQ38" i="42"/>
  <c r="BJ36" i="39" a="1"/>
  <c r="BJ36" i="39" s="1"/>
  <c r="BJ26" i="39" a="1"/>
  <c r="BJ26" i="39" s="1"/>
  <c r="BJ35" i="39" a="1"/>
  <c r="BJ35" i="39" s="1"/>
  <c r="BJ25" i="39" a="1"/>
  <c r="BJ25" i="39" s="1"/>
  <c r="BJ32" i="39" a="1"/>
  <c r="BJ32" i="39" s="1"/>
  <c r="BJ47" i="39"/>
  <c r="BJ34" i="39" a="1"/>
  <c r="BJ34" i="39" s="1"/>
  <c r="BJ18" i="39" a="1"/>
  <c r="BJ18" i="39" s="1"/>
  <c r="U32" i="43"/>
  <c r="U28" i="43"/>
  <c r="AB42" i="40"/>
  <c r="AB36" i="40"/>
  <c r="AB32" i="40"/>
  <c r="AB28" i="40"/>
  <c r="AB24" i="40"/>
  <c r="AB20" i="40"/>
  <c r="AB16" i="40"/>
  <c r="AB27" i="40"/>
  <c r="AB22" i="40"/>
  <c r="AB44" i="40"/>
  <c r="AB41" i="40"/>
  <c r="AB35" i="40"/>
  <c r="AB30" i="40"/>
  <c r="AB25" i="40"/>
  <c r="AB17" i="40"/>
  <c r="AB43" i="40"/>
  <c r="AB26" i="40"/>
  <c r="AB19" i="40"/>
  <c r="AB33" i="40"/>
  <c r="AB29" i="40"/>
  <c r="BC19" i="42"/>
  <c r="BC30" i="42"/>
  <c r="BC37" i="42"/>
  <c r="AK3" i="40"/>
  <c r="AE30" i="42"/>
  <c r="AE40" i="42"/>
  <c r="AI27" i="43"/>
  <c r="AI28" i="43"/>
  <c r="AI35" i="43"/>
  <c r="AB40" i="40"/>
  <c r="AR53" i="40"/>
  <c r="AT53" i="40" s="1"/>
  <c r="AR51" i="40"/>
  <c r="AT51" i="40" s="1"/>
  <c r="AR50" i="40"/>
  <c r="AT50" i="40" s="1"/>
  <c r="AR52" i="40"/>
  <c r="AT52" i="40" s="1"/>
  <c r="AI34" i="43"/>
  <c r="CY33" i="39"/>
  <c r="CY23" i="39"/>
  <c r="CY13" i="39"/>
  <c r="CY6" i="39" s="1"/>
  <c r="CY3" i="39" s="1"/>
  <c r="CY28" i="39"/>
  <c r="CY40" i="39"/>
  <c r="CY37" i="39"/>
  <c r="CY15" i="39"/>
  <c r="CY41" i="39"/>
  <c r="CY30" i="39"/>
  <c r="AB45" i="40"/>
  <c r="AK40" i="40"/>
  <c r="AK36" i="40"/>
  <c r="AK32" i="40"/>
  <c r="AK28" i="40"/>
  <c r="AK24" i="40"/>
  <c r="AK20" i="40"/>
  <c r="AK16" i="40"/>
  <c r="AK43" i="40"/>
  <c r="AK23" i="40"/>
  <c r="AK33" i="40"/>
  <c r="AK38" i="40"/>
  <c r="AK31" i="40"/>
  <c r="AK26" i="40"/>
  <c r="AK41" i="40"/>
  <c r="AK29" i="40"/>
  <c r="AK18" i="40"/>
  <c r="AK21" i="40"/>
  <c r="AI30" i="43"/>
  <c r="F17" i="39"/>
  <c r="M34" i="40"/>
  <c r="M30" i="40"/>
  <c r="M26" i="40"/>
  <c r="M18" i="40"/>
  <c r="M42" i="40"/>
  <c r="M31" i="40"/>
  <c r="M40" i="40"/>
  <c r="M36" i="40"/>
  <c r="M21" i="40"/>
  <c r="M29" i="40"/>
  <c r="M24" i="40"/>
  <c r="M16" i="40"/>
  <c r="AF51" i="40"/>
  <c r="AH51" i="40" s="1"/>
  <c r="Z12" i="41"/>
  <c r="Z20" i="41"/>
  <c r="Z38" i="41"/>
  <c r="Z34" i="41"/>
  <c r="Z24" i="41"/>
  <c r="Z31" i="41"/>
  <c r="Z16" i="41"/>
  <c r="Z21" i="41"/>
  <c r="Z30" i="41"/>
  <c r="Z13" i="41"/>
  <c r="Z27" i="41"/>
  <c r="Z26" i="41"/>
  <c r="Z25" i="41"/>
  <c r="Z39" i="41"/>
  <c r="Z22" i="41"/>
  <c r="Z23" i="41"/>
  <c r="BC18" i="42"/>
  <c r="AY27" i="43"/>
  <c r="AV34" i="43"/>
  <c r="AW34" i="43" s="1"/>
  <c r="AY35" i="43"/>
  <c r="AI38" i="43"/>
  <c r="DK7" i="39"/>
  <c r="CV40" i="39"/>
  <c r="CV30" i="39"/>
  <c r="CV20" i="39"/>
  <c r="J3" i="40"/>
  <c r="Q3" i="41"/>
  <c r="E7" i="41"/>
  <c r="AQ35" i="42"/>
  <c r="AI14" i="43"/>
  <c r="AI26" i="43"/>
  <c r="AI25" i="43"/>
  <c r="AI33" i="43"/>
  <c r="AY34" i="43"/>
  <c r="Z14" i="41"/>
  <c r="BA18" i="42"/>
  <c r="BA34" i="42"/>
  <c r="V32" i="43"/>
  <c r="F39" i="39"/>
  <c r="F29" i="39"/>
  <c r="F38" i="39"/>
  <c r="F28" i="39"/>
  <c r="M3" i="40"/>
  <c r="AQ40" i="42"/>
  <c r="AX16" i="43"/>
  <c r="AY16" i="43" s="1"/>
  <c r="U24" i="43"/>
  <c r="W27" i="43"/>
  <c r="AW33" i="43"/>
  <c r="AH3" i="40"/>
  <c r="N3" i="42"/>
  <c r="AH3" i="42"/>
  <c r="BB3" i="42"/>
  <c r="BA25" i="42"/>
  <c r="BC38" i="42"/>
  <c r="U27" i="43"/>
  <c r="W37" i="43"/>
  <c r="AL53" i="40"/>
  <c r="AN53" i="40" s="1"/>
  <c r="AL50" i="40"/>
  <c r="AN50" i="40" s="1"/>
  <c r="BA19" i="42"/>
  <c r="F3" i="43"/>
  <c r="P3" i="40"/>
  <c r="AF53" i="40"/>
  <c r="AH53" i="40" s="1"/>
  <c r="AO53" i="40"/>
  <c r="AO52" i="40"/>
  <c r="X42" i="41"/>
  <c r="AB42" i="41" s="1"/>
  <c r="BA36" i="42"/>
  <c r="BA13" i="42"/>
  <c r="BA15" i="42"/>
  <c r="AO14" i="42"/>
  <c r="AB18" i="42"/>
  <c r="BA27" i="42"/>
  <c r="AB34" i="42"/>
  <c r="AQ45" i="40"/>
  <c r="AQ43" i="40"/>
  <c r="AQ37" i="40"/>
  <c r="AQ38" i="40"/>
  <c r="AQ34" i="40"/>
  <c r="AQ30" i="40"/>
  <c r="AQ26" i="40"/>
  <c r="AQ22" i="40"/>
  <c r="AQ18" i="40"/>
  <c r="BC23" i="42"/>
  <c r="U15" i="43"/>
  <c r="AV26" i="43"/>
  <c r="AG28" i="43"/>
  <c r="AI31" i="43"/>
  <c r="BA24" i="42"/>
  <c r="BA32" i="42"/>
  <c r="AI29" i="43"/>
  <c r="U39" i="43"/>
  <c r="AB15" i="42"/>
  <c r="BC31" i="42"/>
  <c r="W18" i="43"/>
  <c r="W14" i="43"/>
  <c r="AI37" i="43"/>
  <c r="AD42" i="41"/>
  <c r="AD3" i="42"/>
  <c r="AX3" i="42"/>
  <c r="AE3" i="41"/>
  <c r="BC33" i="42"/>
  <c r="U13" i="43"/>
  <c r="AI36" i="43"/>
  <c r="U41" i="43"/>
  <c r="BA33" i="42"/>
  <c r="BC34" i="42"/>
  <c r="AO38" i="42"/>
  <c r="V3" i="43"/>
  <c r="AD25" i="42"/>
  <c r="BC25" i="42"/>
  <c r="U40" i="43"/>
  <c r="M44" i="40"/>
  <c r="M45" i="40"/>
  <c r="AN17" i="42"/>
  <c r="AO13" i="42" s="1"/>
  <c r="BA38" i="42"/>
  <c r="BA39" i="42"/>
  <c r="AI13" i="43"/>
  <c r="AI16" i="43"/>
  <c r="AI20" i="43"/>
  <c r="AF14" i="43"/>
  <c r="D3" i="42"/>
  <c r="BA41" i="42"/>
  <c r="T20" i="43"/>
  <c r="U20" i="43" s="1"/>
  <c r="Y3" i="41"/>
  <c r="AI7" i="41"/>
  <c r="AD13" i="42"/>
  <c r="AE36" i="42" s="1"/>
  <c r="AB23" i="42"/>
  <c r="BC26" i="42"/>
  <c r="H3" i="43"/>
  <c r="AB3" i="43"/>
  <c r="AV3" i="43"/>
  <c r="F3" i="42"/>
  <c r="AT3" i="42"/>
  <c r="AB27" i="42"/>
  <c r="U18" i="43"/>
  <c r="AV30" i="43"/>
  <c r="BA14" i="42"/>
  <c r="BA23" i="42"/>
  <c r="AD27" i="42"/>
  <c r="AQ29" i="42"/>
  <c r="AD32" i="42"/>
  <c r="AE32" i="42" s="1"/>
  <c r="AO33" i="42"/>
  <c r="J3" i="43"/>
  <c r="AD3" i="43"/>
  <c r="AX3" i="43"/>
  <c r="AI17" i="43"/>
  <c r="AB3" i="42"/>
  <c r="AV3" i="42"/>
  <c r="BC14" i="42"/>
  <c r="AQ18" i="42"/>
  <c r="AB32" i="42"/>
  <c r="AO34" i="42"/>
  <c r="BA42" i="42"/>
  <c r="V42" i="43"/>
  <c r="AN18" i="42"/>
  <c r="AB30" i="42"/>
  <c r="AD42" i="42"/>
  <c r="BC7" i="43"/>
  <c r="AV35" i="43"/>
  <c r="AD14" i="42"/>
  <c r="T30" i="43"/>
  <c r="P3" i="42"/>
  <c r="BC17" i="42"/>
  <c r="BA31" i="42"/>
  <c r="BA40" i="42"/>
  <c r="AI15" i="43"/>
  <c r="AG21" i="43"/>
  <c r="U34" i="43"/>
  <c r="BA30" i="42"/>
  <c r="AI41" i="43"/>
  <c r="AD20" i="42"/>
  <c r="AB24" i="42"/>
  <c r="AF22" i="43"/>
  <c r="AG42" i="43"/>
  <c r="AB22" i="42"/>
  <c r="AD31" i="42"/>
  <c r="AX15" i="43"/>
  <c r="AY32" i="43" s="1"/>
  <c r="AF17" i="43"/>
  <c r="AX20" i="43"/>
  <c r="AV21" i="43"/>
  <c r="AI22" i="43"/>
  <c r="Z40" i="41"/>
  <c r="Z37" i="41"/>
  <c r="Z28" i="41"/>
  <c r="Z32" i="41"/>
  <c r="Z36" i="41"/>
  <c r="V30" i="43"/>
  <c r="W20" i="43" s="1"/>
  <c r="Z41" i="41"/>
  <c r="AB28" i="42"/>
  <c r="AV14" i="43"/>
  <c r="AW15" i="43" s="1"/>
  <c r="AI32" i="43"/>
  <c r="T35" i="43"/>
  <c r="BA22" i="42"/>
  <c r="AD28" i="42"/>
  <c r="BB28" i="42"/>
  <c r="BC28" i="42" s="1"/>
  <c r="N3" i="43"/>
  <c r="AH3" i="43"/>
  <c r="BB3" i="43"/>
  <c r="V35" i="43"/>
  <c r="W35" i="43" s="1"/>
  <c r="AF37" i="43"/>
  <c r="AG37" i="43" s="1"/>
  <c r="AQ14" i="42"/>
  <c r="U14" i="43"/>
  <c r="AI42" i="43"/>
  <c r="BA21" i="42"/>
  <c r="AB26" i="42"/>
  <c r="BA26" i="42"/>
  <c r="E7" i="43"/>
  <c r="AP19" i="42"/>
  <c r="AD26" i="42"/>
  <c r="U19" i="43"/>
  <c r="AV29" i="43"/>
  <c r="AP13" i="42"/>
  <c r="AQ30" i="42" s="1"/>
  <c r="BA20" i="42"/>
  <c r="AB29" i="42"/>
  <c r="AN37" i="42"/>
  <c r="AO37" i="42" s="1"/>
  <c r="AY29" i="43"/>
  <c r="D9" i="31"/>
  <c r="D51" i="29"/>
  <c r="D50" i="29"/>
  <c r="D49" i="29"/>
  <c r="D48" i="29"/>
  <c r="D47" i="29"/>
  <c r="D59" i="29"/>
  <c r="D58" i="29"/>
  <c r="D57" i="29"/>
  <c r="D56" i="29"/>
  <c r="D55" i="29"/>
  <c r="E60" i="29"/>
  <c r="I102" i="27"/>
  <c r="I94" i="27"/>
  <c r="I95" i="27"/>
  <c r="I96" i="27"/>
  <c r="I97" i="27"/>
  <c r="I98" i="27"/>
  <c r="I99" i="27"/>
  <c r="I100" i="27"/>
  <c r="I93" i="27"/>
  <c r="I87" i="27"/>
  <c r="I88" i="27"/>
  <c r="I89" i="27"/>
  <c r="I90" i="27"/>
  <c r="I91" i="27"/>
  <c r="I83" i="27"/>
  <c r="I84" i="27"/>
  <c r="I85" i="27"/>
  <c r="I86" i="27"/>
  <c r="I82" i="27"/>
  <c r="I76" i="27"/>
  <c r="I77" i="27"/>
  <c r="I78" i="27"/>
  <c r="I79" i="27"/>
  <c r="I80" i="27"/>
  <c r="I70" i="27"/>
  <c r="I62" i="27"/>
  <c r="I63" i="27"/>
  <c r="I64" i="27"/>
  <c r="I65" i="27"/>
  <c r="I66" i="27"/>
  <c r="I68" i="27"/>
  <c r="I61" i="27"/>
  <c r="I44" i="27"/>
  <c r="I47" i="27"/>
  <c r="I50" i="27"/>
  <c r="I53" i="27"/>
  <c r="I56" i="27"/>
  <c r="I45" i="27"/>
  <c r="I48" i="27"/>
  <c r="I51" i="27"/>
  <c r="I54" i="27"/>
  <c r="I57" i="27"/>
  <c r="I46" i="27"/>
  <c r="I49" i="27"/>
  <c r="I52" i="27"/>
  <c r="I55" i="27"/>
  <c r="I58" i="27"/>
  <c r="I59" i="27"/>
  <c r="E13" i="29"/>
  <c r="G13" i="29"/>
  <c r="I13" i="29"/>
  <c r="K13" i="29"/>
  <c r="M13" i="29"/>
  <c r="O13" i="29"/>
  <c r="Q13" i="29"/>
  <c r="S13" i="29"/>
  <c r="U13" i="29"/>
  <c r="W13" i="29"/>
  <c r="Y13" i="29"/>
  <c r="AA13" i="29"/>
  <c r="AC13" i="29"/>
  <c r="AE13" i="29"/>
  <c r="AG13" i="29"/>
  <c r="AI13" i="29"/>
  <c r="AK13" i="29"/>
  <c r="AM13" i="29"/>
  <c r="AO13" i="29"/>
  <c r="AQ13" i="29"/>
  <c r="AS13" i="29"/>
  <c r="AU13" i="29"/>
  <c r="AW13" i="29"/>
  <c r="AY13" i="29"/>
  <c r="E14" i="29"/>
  <c r="G14" i="29"/>
  <c r="I14" i="29"/>
  <c r="K14" i="29"/>
  <c r="M14" i="29"/>
  <c r="O14" i="29"/>
  <c r="Q14" i="29"/>
  <c r="S14" i="29"/>
  <c r="U14" i="29"/>
  <c r="W14" i="29"/>
  <c r="Y14" i="29"/>
  <c r="AA14" i="29"/>
  <c r="AC14" i="29"/>
  <c r="AE14" i="29"/>
  <c r="AG14" i="29"/>
  <c r="AI14" i="29"/>
  <c r="AK14" i="29"/>
  <c r="AM14" i="29"/>
  <c r="AO14" i="29"/>
  <c r="AQ14" i="29"/>
  <c r="AS14" i="29"/>
  <c r="AU14" i="29"/>
  <c r="AW14" i="29"/>
  <c r="AY14" i="29"/>
  <c r="E15" i="29"/>
  <c r="G15" i="29"/>
  <c r="I15" i="29"/>
  <c r="K15" i="29"/>
  <c r="M15" i="29"/>
  <c r="O15" i="29"/>
  <c r="Q15" i="29"/>
  <c r="S15" i="29"/>
  <c r="U15" i="29"/>
  <c r="W15" i="29"/>
  <c r="Y15" i="29"/>
  <c r="AA15" i="29"/>
  <c r="AC15" i="29"/>
  <c r="AE15" i="29"/>
  <c r="AG15" i="29"/>
  <c r="AI15" i="29"/>
  <c r="AK15" i="29"/>
  <c r="AM15" i="29"/>
  <c r="AO15" i="29"/>
  <c r="AQ15" i="29"/>
  <c r="AS15" i="29"/>
  <c r="AU15" i="29"/>
  <c r="AW15" i="29"/>
  <c r="AY15" i="29"/>
  <c r="E16" i="29"/>
  <c r="G16" i="29"/>
  <c r="I16" i="29"/>
  <c r="K16" i="29"/>
  <c r="M16" i="29"/>
  <c r="O16" i="29"/>
  <c r="Q16" i="29"/>
  <c r="S16" i="29"/>
  <c r="U16" i="29"/>
  <c r="W16" i="29"/>
  <c r="Y16" i="29"/>
  <c r="AA16" i="29"/>
  <c r="AC16" i="29"/>
  <c r="AE16" i="29"/>
  <c r="AG16" i="29"/>
  <c r="AI16" i="29"/>
  <c r="AK16" i="29"/>
  <c r="AM16" i="29"/>
  <c r="AO16" i="29"/>
  <c r="AQ16" i="29"/>
  <c r="AS16" i="29"/>
  <c r="AU16" i="29"/>
  <c r="AW16" i="29"/>
  <c r="AY16" i="29"/>
  <c r="E17" i="29"/>
  <c r="G17" i="29"/>
  <c r="I17" i="29"/>
  <c r="K17" i="29"/>
  <c r="M17" i="29"/>
  <c r="O17" i="29"/>
  <c r="Q17" i="29"/>
  <c r="S17" i="29"/>
  <c r="U17" i="29"/>
  <c r="W17" i="29"/>
  <c r="Y17" i="29"/>
  <c r="AA17" i="29"/>
  <c r="AC17" i="29"/>
  <c r="AE17" i="29"/>
  <c r="AG17" i="29"/>
  <c r="AI17" i="29"/>
  <c r="AK17" i="29"/>
  <c r="AM17" i="29"/>
  <c r="AO17" i="29"/>
  <c r="AQ17" i="29"/>
  <c r="AS17" i="29"/>
  <c r="AU17" i="29"/>
  <c r="AW17" i="29"/>
  <c r="AY17" i="29"/>
  <c r="E18" i="29"/>
  <c r="G18" i="29"/>
  <c r="I18" i="29"/>
  <c r="K18" i="29"/>
  <c r="M18" i="29"/>
  <c r="O18" i="29"/>
  <c r="Q18" i="29"/>
  <c r="S18" i="29"/>
  <c r="U18" i="29"/>
  <c r="W18" i="29"/>
  <c r="Y18" i="29"/>
  <c r="AA18" i="29"/>
  <c r="AC18" i="29"/>
  <c r="AE18" i="29"/>
  <c r="AG18" i="29"/>
  <c r="AI18" i="29"/>
  <c r="AK18" i="29"/>
  <c r="AM18" i="29"/>
  <c r="AO18" i="29"/>
  <c r="AQ18" i="29"/>
  <c r="AS18" i="29"/>
  <c r="AU18" i="29"/>
  <c r="AW18" i="29"/>
  <c r="AY18" i="29"/>
  <c r="E19" i="29"/>
  <c r="G19" i="29"/>
  <c r="I19" i="29"/>
  <c r="K19" i="29"/>
  <c r="M19" i="29"/>
  <c r="O19" i="29"/>
  <c r="Q19" i="29"/>
  <c r="S19" i="29"/>
  <c r="U19" i="29"/>
  <c r="W19" i="29"/>
  <c r="Y19" i="29"/>
  <c r="AA19" i="29"/>
  <c r="AC19" i="29"/>
  <c r="AE19" i="29"/>
  <c r="AG19" i="29"/>
  <c r="AI19" i="29"/>
  <c r="AK19" i="29"/>
  <c r="AM19" i="29"/>
  <c r="AO19" i="29"/>
  <c r="AQ19" i="29"/>
  <c r="AS19" i="29"/>
  <c r="AU19" i="29"/>
  <c r="AW19" i="29"/>
  <c r="AY19" i="29"/>
  <c r="E20" i="29"/>
  <c r="G20" i="29"/>
  <c r="I20" i="29"/>
  <c r="K20" i="29"/>
  <c r="M20" i="29"/>
  <c r="O20" i="29"/>
  <c r="Q20" i="29"/>
  <c r="S20" i="29"/>
  <c r="U20" i="29"/>
  <c r="W20" i="29"/>
  <c r="Y20" i="29"/>
  <c r="AA20" i="29"/>
  <c r="AC20" i="29"/>
  <c r="AE20" i="29"/>
  <c r="AG20" i="29"/>
  <c r="AI20" i="29"/>
  <c r="AK20" i="29"/>
  <c r="AM20" i="29"/>
  <c r="AO20" i="29"/>
  <c r="AQ20" i="29"/>
  <c r="AS20" i="29"/>
  <c r="AU20" i="29"/>
  <c r="AW20" i="29"/>
  <c r="AY20" i="29"/>
  <c r="E21" i="29"/>
  <c r="G21" i="29"/>
  <c r="I21" i="29"/>
  <c r="K21" i="29"/>
  <c r="M21" i="29"/>
  <c r="O21" i="29"/>
  <c r="Q21" i="29"/>
  <c r="S21" i="29"/>
  <c r="U21" i="29"/>
  <c r="W21" i="29"/>
  <c r="Y21" i="29"/>
  <c r="AA21" i="29"/>
  <c r="AC21" i="29"/>
  <c r="AE21" i="29"/>
  <c r="AG21" i="29"/>
  <c r="AI21" i="29"/>
  <c r="AK21" i="29"/>
  <c r="AM21" i="29"/>
  <c r="AO21" i="29"/>
  <c r="AQ21" i="29"/>
  <c r="AS21" i="29"/>
  <c r="AU21" i="29"/>
  <c r="AW21" i="29"/>
  <c r="AY21" i="29"/>
  <c r="E22" i="29"/>
  <c r="G22" i="29"/>
  <c r="I22" i="29"/>
  <c r="K22" i="29"/>
  <c r="M22" i="29"/>
  <c r="O22" i="29"/>
  <c r="Q22" i="29"/>
  <c r="S22" i="29"/>
  <c r="U22" i="29"/>
  <c r="W22" i="29"/>
  <c r="Y22" i="29"/>
  <c r="AA22" i="29"/>
  <c r="AC22" i="29"/>
  <c r="AE22" i="29"/>
  <c r="AG22" i="29"/>
  <c r="AI22" i="29"/>
  <c r="AK22" i="29"/>
  <c r="AM22" i="29"/>
  <c r="AO22" i="29"/>
  <c r="AQ22" i="29"/>
  <c r="AS22" i="29"/>
  <c r="AU22" i="29"/>
  <c r="AW22" i="29"/>
  <c r="AY22" i="29"/>
  <c r="E23" i="29"/>
  <c r="G23" i="29"/>
  <c r="I23" i="29"/>
  <c r="K23" i="29"/>
  <c r="M23" i="29"/>
  <c r="O23" i="29"/>
  <c r="Q23" i="29"/>
  <c r="S23" i="29"/>
  <c r="U23" i="29"/>
  <c r="W23" i="29"/>
  <c r="Y23" i="29"/>
  <c r="AA23" i="29"/>
  <c r="AC23" i="29"/>
  <c r="AE23" i="29"/>
  <c r="AG23" i="29"/>
  <c r="AI23" i="29"/>
  <c r="AK23" i="29"/>
  <c r="AM23" i="29"/>
  <c r="AO23" i="29"/>
  <c r="AQ23" i="29"/>
  <c r="AS23" i="29"/>
  <c r="AU23" i="29"/>
  <c r="AW23" i="29"/>
  <c r="AY23" i="29"/>
  <c r="E24" i="29"/>
  <c r="G24" i="29"/>
  <c r="I24" i="29"/>
  <c r="K24" i="29"/>
  <c r="M24" i="29"/>
  <c r="O24" i="29"/>
  <c r="Q24" i="29"/>
  <c r="S24" i="29"/>
  <c r="U24" i="29"/>
  <c r="W24" i="29"/>
  <c r="Y24" i="29"/>
  <c r="AA24" i="29"/>
  <c r="AC24" i="29"/>
  <c r="AE24" i="29"/>
  <c r="AG24" i="29"/>
  <c r="AI24" i="29"/>
  <c r="AK24" i="29"/>
  <c r="AM24" i="29"/>
  <c r="AO24" i="29"/>
  <c r="AQ24" i="29"/>
  <c r="AS24" i="29"/>
  <c r="AU24" i="29"/>
  <c r="AW24" i="29"/>
  <c r="AY24" i="29"/>
  <c r="E25" i="29"/>
  <c r="G25" i="29"/>
  <c r="I25" i="29"/>
  <c r="K25" i="29"/>
  <c r="M25" i="29"/>
  <c r="O25" i="29"/>
  <c r="Q25" i="29"/>
  <c r="S25" i="29"/>
  <c r="U25" i="29"/>
  <c r="W25" i="29"/>
  <c r="Y25" i="29"/>
  <c r="AA25" i="29"/>
  <c r="AC25" i="29"/>
  <c r="AE25" i="29"/>
  <c r="AG25" i="29"/>
  <c r="AI25" i="29"/>
  <c r="AK25" i="29"/>
  <c r="AM25" i="29"/>
  <c r="AO25" i="29"/>
  <c r="AQ25" i="29"/>
  <c r="AS25" i="29"/>
  <c r="AU25" i="29"/>
  <c r="AW25" i="29"/>
  <c r="AY25" i="29"/>
  <c r="E26" i="29"/>
  <c r="G26" i="29"/>
  <c r="I26" i="29"/>
  <c r="K26" i="29"/>
  <c r="M26" i="29"/>
  <c r="O26" i="29"/>
  <c r="Q26" i="29"/>
  <c r="S26" i="29"/>
  <c r="U26" i="29"/>
  <c r="W26" i="29"/>
  <c r="Y26" i="29"/>
  <c r="AA26" i="29"/>
  <c r="AC26" i="29"/>
  <c r="AE26" i="29"/>
  <c r="AG26" i="29"/>
  <c r="AI26" i="29"/>
  <c r="AK26" i="29"/>
  <c r="AM26" i="29"/>
  <c r="AO26" i="29"/>
  <c r="AQ26" i="29"/>
  <c r="AS26" i="29"/>
  <c r="AU26" i="29"/>
  <c r="AW26" i="29"/>
  <c r="AY26" i="29"/>
  <c r="E27" i="29"/>
  <c r="G27" i="29"/>
  <c r="I27" i="29"/>
  <c r="K27" i="29"/>
  <c r="M27" i="29"/>
  <c r="O27" i="29"/>
  <c r="Q27" i="29"/>
  <c r="S27" i="29"/>
  <c r="U27" i="29"/>
  <c r="W27" i="29"/>
  <c r="Y27" i="29"/>
  <c r="AA27" i="29"/>
  <c r="AC27" i="29"/>
  <c r="AE27" i="29"/>
  <c r="AG27" i="29"/>
  <c r="AI27" i="29"/>
  <c r="AK27" i="29"/>
  <c r="AM27" i="29"/>
  <c r="AO27" i="29"/>
  <c r="AQ27" i="29"/>
  <c r="AS27" i="29"/>
  <c r="AU27" i="29"/>
  <c r="AW27" i="29"/>
  <c r="AY27" i="29"/>
  <c r="E28" i="29"/>
  <c r="G28" i="29"/>
  <c r="I28" i="29"/>
  <c r="K28" i="29"/>
  <c r="M28" i="29"/>
  <c r="O28" i="29"/>
  <c r="Q28" i="29"/>
  <c r="S28" i="29"/>
  <c r="U28" i="29"/>
  <c r="W28" i="29"/>
  <c r="Y28" i="29"/>
  <c r="AA28" i="29"/>
  <c r="AC28" i="29"/>
  <c r="AE28" i="29"/>
  <c r="AG28" i="29"/>
  <c r="AI28" i="29"/>
  <c r="AK28" i="29"/>
  <c r="AM28" i="29"/>
  <c r="AO28" i="29"/>
  <c r="AQ28" i="29"/>
  <c r="AS28" i="29"/>
  <c r="AU28" i="29"/>
  <c r="AW28" i="29"/>
  <c r="AY28" i="29"/>
  <c r="E29" i="29"/>
  <c r="G29" i="29"/>
  <c r="I29" i="29"/>
  <c r="K29" i="29"/>
  <c r="M29" i="29"/>
  <c r="O29" i="29"/>
  <c r="Q29" i="29"/>
  <c r="S29" i="29"/>
  <c r="U29" i="29"/>
  <c r="W29" i="29"/>
  <c r="Y29" i="29"/>
  <c r="AA29" i="29"/>
  <c r="AC29" i="29"/>
  <c r="AE29" i="29"/>
  <c r="AG29" i="29"/>
  <c r="AI29" i="29"/>
  <c r="AK29" i="29"/>
  <c r="AM29" i="29"/>
  <c r="AO29" i="29"/>
  <c r="AQ29" i="29"/>
  <c r="AS29" i="29"/>
  <c r="AU29" i="29"/>
  <c r="AW29" i="29"/>
  <c r="AY29" i="29"/>
  <c r="E30" i="29"/>
  <c r="G30" i="29"/>
  <c r="I30" i="29"/>
  <c r="K30" i="29"/>
  <c r="M30" i="29"/>
  <c r="O30" i="29"/>
  <c r="Q30" i="29"/>
  <c r="S30" i="29"/>
  <c r="U30" i="29"/>
  <c r="W30" i="29"/>
  <c r="Y30" i="29"/>
  <c r="AA30" i="29"/>
  <c r="AC30" i="29"/>
  <c r="AE30" i="29"/>
  <c r="AG30" i="29"/>
  <c r="AI30" i="29"/>
  <c r="AK30" i="29"/>
  <c r="AM30" i="29"/>
  <c r="AO30" i="29"/>
  <c r="AQ30" i="29"/>
  <c r="AS30" i="29"/>
  <c r="AU30" i="29"/>
  <c r="AW30" i="29"/>
  <c r="AY30" i="29"/>
  <c r="E31" i="29"/>
  <c r="G31" i="29"/>
  <c r="I31" i="29"/>
  <c r="K31" i="29"/>
  <c r="M31" i="29"/>
  <c r="O31" i="29"/>
  <c r="Q31" i="29"/>
  <c r="S31" i="29"/>
  <c r="U31" i="29"/>
  <c r="W31" i="29"/>
  <c r="Y31" i="29"/>
  <c r="AA31" i="29"/>
  <c r="AC31" i="29"/>
  <c r="AE31" i="29"/>
  <c r="AG31" i="29"/>
  <c r="AI31" i="29"/>
  <c r="AK31" i="29"/>
  <c r="AM31" i="29"/>
  <c r="AO31" i="29"/>
  <c r="AQ31" i="29"/>
  <c r="AS31" i="29"/>
  <c r="AU31" i="29"/>
  <c r="AW31" i="29"/>
  <c r="AY31" i="29"/>
  <c r="E32" i="29"/>
  <c r="G32" i="29"/>
  <c r="I32" i="29"/>
  <c r="K32" i="29"/>
  <c r="M32" i="29"/>
  <c r="O32" i="29"/>
  <c r="Q32" i="29"/>
  <c r="S32" i="29"/>
  <c r="U32" i="29"/>
  <c r="W32" i="29"/>
  <c r="Y32" i="29"/>
  <c r="AA32" i="29"/>
  <c r="AC32" i="29"/>
  <c r="AE32" i="29"/>
  <c r="AG32" i="29"/>
  <c r="AI32" i="29"/>
  <c r="AK32" i="29"/>
  <c r="AM32" i="29"/>
  <c r="AO32" i="29"/>
  <c r="AQ32" i="29"/>
  <c r="AS32" i="29"/>
  <c r="AU32" i="29"/>
  <c r="AW32" i="29"/>
  <c r="AY32" i="29"/>
  <c r="E33" i="29"/>
  <c r="G33" i="29"/>
  <c r="I33" i="29"/>
  <c r="K33" i="29"/>
  <c r="M33" i="29"/>
  <c r="O33" i="29"/>
  <c r="Q33" i="29"/>
  <c r="S33" i="29"/>
  <c r="U33" i="29"/>
  <c r="W33" i="29"/>
  <c r="Y33" i="29"/>
  <c r="AA33" i="29"/>
  <c r="AC33" i="29"/>
  <c r="AE33" i="29"/>
  <c r="AG33" i="29"/>
  <c r="AI33" i="29"/>
  <c r="AK33" i="29"/>
  <c r="AM33" i="29"/>
  <c r="AO33" i="29"/>
  <c r="AQ33" i="29"/>
  <c r="AS33" i="29"/>
  <c r="AU33" i="29"/>
  <c r="AW33" i="29"/>
  <c r="AY33" i="29"/>
  <c r="E34" i="29"/>
  <c r="G34" i="29"/>
  <c r="I34" i="29"/>
  <c r="K34" i="29"/>
  <c r="M34" i="29"/>
  <c r="O34" i="29"/>
  <c r="Q34" i="29"/>
  <c r="S34" i="29"/>
  <c r="U34" i="29"/>
  <c r="W34" i="29"/>
  <c r="Y34" i="29"/>
  <c r="AA34" i="29"/>
  <c r="AC34" i="29"/>
  <c r="AE34" i="29"/>
  <c r="AG34" i="29"/>
  <c r="AI34" i="29"/>
  <c r="AK34" i="29"/>
  <c r="AM34" i="29"/>
  <c r="AO34" i="29"/>
  <c r="AQ34" i="29"/>
  <c r="AS34" i="29"/>
  <c r="AU34" i="29"/>
  <c r="AW34" i="29"/>
  <c r="AY34" i="29"/>
  <c r="E35" i="29"/>
  <c r="G35" i="29"/>
  <c r="I35" i="29"/>
  <c r="K35" i="29"/>
  <c r="M35" i="29"/>
  <c r="O35" i="29"/>
  <c r="Q35" i="29"/>
  <c r="S35" i="29"/>
  <c r="U35" i="29"/>
  <c r="W35" i="29"/>
  <c r="Y35" i="29"/>
  <c r="AA35" i="29"/>
  <c r="AC35" i="29"/>
  <c r="AE35" i="29"/>
  <c r="AG35" i="29"/>
  <c r="AI35" i="29"/>
  <c r="AK35" i="29"/>
  <c r="AM35" i="29"/>
  <c r="AO35" i="29"/>
  <c r="AQ35" i="29"/>
  <c r="AS35" i="29"/>
  <c r="AU35" i="29"/>
  <c r="AW35" i="29"/>
  <c r="AY35" i="29"/>
  <c r="E36" i="29"/>
  <c r="G36" i="29"/>
  <c r="I36" i="29"/>
  <c r="K36" i="29"/>
  <c r="M36" i="29"/>
  <c r="O36" i="29"/>
  <c r="Q36" i="29"/>
  <c r="S36" i="29"/>
  <c r="U36" i="29"/>
  <c r="W36" i="29"/>
  <c r="Y36" i="29"/>
  <c r="AA36" i="29"/>
  <c r="AC36" i="29"/>
  <c r="AE36" i="29"/>
  <c r="AG36" i="29"/>
  <c r="AI36" i="29"/>
  <c r="AK36" i="29"/>
  <c r="AM36" i="29"/>
  <c r="AO36" i="29"/>
  <c r="AQ36" i="29"/>
  <c r="AS36" i="29"/>
  <c r="AU36" i="29"/>
  <c r="AW36" i="29"/>
  <c r="AY36" i="29"/>
  <c r="E37" i="29"/>
  <c r="G37" i="29"/>
  <c r="I37" i="29"/>
  <c r="K37" i="29"/>
  <c r="M37" i="29"/>
  <c r="O37" i="29"/>
  <c r="Q37" i="29"/>
  <c r="S37" i="29"/>
  <c r="U37" i="29"/>
  <c r="W37" i="29"/>
  <c r="Y37" i="29"/>
  <c r="AA37" i="29"/>
  <c r="AC37" i="29"/>
  <c r="AE37" i="29"/>
  <c r="AG37" i="29"/>
  <c r="AI37" i="29"/>
  <c r="AK37" i="29"/>
  <c r="AM37" i="29"/>
  <c r="AO37" i="29"/>
  <c r="AQ37" i="29"/>
  <c r="AS37" i="29"/>
  <c r="AU37" i="29"/>
  <c r="AW37" i="29"/>
  <c r="AY37" i="29"/>
  <c r="BA13" i="29"/>
  <c r="BA14" i="29"/>
  <c r="BA15" i="29"/>
  <c r="BA16" i="29"/>
  <c r="BA17" i="29"/>
  <c r="BA18" i="29"/>
  <c r="BA19" i="29"/>
  <c r="BA20" i="29"/>
  <c r="BA21" i="29"/>
  <c r="BA22" i="29"/>
  <c r="BA23" i="29"/>
  <c r="BA24" i="29"/>
  <c r="BA25" i="29"/>
  <c r="BA26" i="29"/>
  <c r="BA27" i="29"/>
  <c r="BA28" i="29"/>
  <c r="BA29" i="29"/>
  <c r="BA30" i="29"/>
  <c r="BA31" i="29"/>
  <c r="BA32" i="29"/>
  <c r="BA33" i="29"/>
  <c r="BA34" i="29"/>
  <c r="BA35" i="29"/>
  <c r="BA36" i="29"/>
  <c r="BA37" i="29"/>
  <c r="BI16" i="29"/>
  <c r="BG13" i="29"/>
  <c r="BI13" i="29"/>
  <c r="BK13" i="29"/>
  <c r="BM13" i="29"/>
  <c r="BO13" i="29"/>
  <c r="BQ13" i="29"/>
  <c r="BS13" i="29"/>
  <c r="BU13" i="29"/>
  <c r="BW13" i="29"/>
  <c r="BG14" i="29"/>
  <c r="BI14" i="29"/>
  <c r="BK14" i="29"/>
  <c r="BM14" i="29"/>
  <c r="BO14" i="29"/>
  <c r="BQ14" i="29"/>
  <c r="BS14" i="29"/>
  <c r="BU14" i="29"/>
  <c r="BW14" i="29"/>
  <c r="BG15" i="29"/>
  <c r="BI15" i="29"/>
  <c r="BK15" i="29"/>
  <c r="BM15" i="29"/>
  <c r="BO15" i="29"/>
  <c r="BQ15" i="29"/>
  <c r="BS15" i="29"/>
  <c r="BU15" i="29"/>
  <c r="BW15" i="29"/>
  <c r="CD15" i="29" s="1"/>
  <c r="BG16" i="29"/>
  <c r="BK16" i="29"/>
  <c r="BM16" i="29"/>
  <c r="BO16" i="29"/>
  <c r="BQ16" i="29"/>
  <c r="BS16" i="29"/>
  <c r="BU16" i="29"/>
  <c r="BW16" i="29"/>
  <c r="BG17" i="29"/>
  <c r="BI17" i="29"/>
  <c r="BK17" i="29"/>
  <c r="BM17" i="29"/>
  <c r="BO17" i="29"/>
  <c r="BQ17" i="29"/>
  <c r="BS17" i="29"/>
  <c r="BU17" i="29"/>
  <c r="BW17" i="29"/>
  <c r="CD17" i="29" s="1"/>
  <c r="BG18" i="29"/>
  <c r="BI18" i="29"/>
  <c r="BK18" i="29"/>
  <c r="CD18" i="29" s="1"/>
  <c r="BM18" i="29"/>
  <c r="BO18" i="29"/>
  <c r="BQ18" i="29"/>
  <c r="BS18" i="29"/>
  <c r="BU18" i="29"/>
  <c r="BW18" i="29"/>
  <c r="BG19" i="29"/>
  <c r="BI19" i="29"/>
  <c r="BK19" i="29"/>
  <c r="BM19" i="29"/>
  <c r="BO19" i="29"/>
  <c r="CD19" i="29" s="1"/>
  <c r="BQ19" i="29"/>
  <c r="BS19" i="29"/>
  <c r="BU19" i="29"/>
  <c r="BW19" i="29"/>
  <c r="BG20" i="29"/>
  <c r="BI20" i="29"/>
  <c r="CF20" i="29" s="1"/>
  <c r="BK20" i="29"/>
  <c r="BM20" i="29"/>
  <c r="BO20" i="29"/>
  <c r="BQ20" i="29"/>
  <c r="BS20" i="29"/>
  <c r="BU20" i="29"/>
  <c r="BW20" i="29"/>
  <c r="BG21" i="29"/>
  <c r="BI21" i="29"/>
  <c r="BK21" i="29"/>
  <c r="BM21" i="29"/>
  <c r="BO21" i="29"/>
  <c r="BQ21" i="29"/>
  <c r="BS21" i="29"/>
  <c r="CD21" i="29" s="1"/>
  <c r="BU21" i="29"/>
  <c r="BW21" i="29"/>
  <c r="BG22" i="29"/>
  <c r="BI22" i="29"/>
  <c r="BK22" i="29"/>
  <c r="BM22" i="29"/>
  <c r="BO22" i="29"/>
  <c r="BQ22" i="29"/>
  <c r="BS22" i="29"/>
  <c r="CD22" i="29" s="1"/>
  <c r="BU22" i="29"/>
  <c r="BW22" i="29"/>
  <c r="BG23" i="29"/>
  <c r="BI23" i="29"/>
  <c r="BK23" i="29"/>
  <c r="BM23" i="29"/>
  <c r="BO23" i="29"/>
  <c r="BQ23" i="29"/>
  <c r="BS23" i="29"/>
  <c r="BU23" i="29"/>
  <c r="BW23" i="29"/>
  <c r="BG24" i="29"/>
  <c r="BI24" i="29"/>
  <c r="BK24" i="29"/>
  <c r="BM24" i="29"/>
  <c r="BO24" i="29"/>
  <c r="BQ24" i="29"/>
  <c r="CF24" i="29" s="1"/>
  <c r="BS24" i="29"/>
  <c r="BU24" i="29"/>
  <c r="BW24" i="29"/>
  <c r="BG25" i="29"/>
  <c r="BI25" i="29"/>
  <c r="BK25" i="29"/>
  <c r="BM25" i="29"/>
  <c r="BO25" i="29"/>
  <c r="BQ25" i="29"/>
  <c r="BS25" i="29"/>
  <c r="BU25" i="29"/>
  <c r="BW25" i="29"/>
  <c r="BG26" i="29"/>
  <c r="BI26" i="29"/>
  <c r="BK26" i="29"/>
  <c r="BM26" i="29"/>
  <c r="BO26" i="29"/>
  <c r="BQ26" i="29"/>
  <c r="BS26" i="29"/>
  <c r="BU26" i="29"/>
  <c r="CF26" i="29" s="1"/>
  <c r="BW26" i="29"/>
  <c r="CD26" i="29" s="1"/>
  <c r="BG27" i="29"/>
  <c r="BI27" i="29"/>
  <c r="CF27" i="29" s="1"/>
  <c r="BK27" i="29"/>
  <c r="BM27" i="29"/>
  <c r="BO27" i="29"/>
  <c r="BQ27" i="29"/>
  <c r="BS27" i="29"/>
  <c r="BU27" i="29"/>
  <c r="BW27" i="29"/>
  <c r="BG28" i="29"/>
  <c r="BI28" i="29"/>
  <c r="BK28" i="29"/>
  <c r="BM28" i="29"/>
  <c r="BO28" i="29"/>
  <c r="CD28" i="29" s="1"/>
  <c r="BQ28" i="29"/>
  <c r="BS28" i="29"/>
  <c r="BU28" i="29"/>
  <c r="BW28" i="29"/>
  <c r="BG29" i="29"/>
  <c r="CD29" i="29" s="1"/>
  <c r="BI29" i="29"/>
  <c r="BK29" i="29"/>
  <c r="BM29" i="29"/>
  <c r="CF29" i="29" s="1"/>
  <c r="BO29" i="29"/>
  <c r="BQ29" i="29"/>
  <c r="BS29" i="29"/>
  <c r="BU29" i="29"/>
  <c r="BW29" i="29"/>
  <c r="BG30" i="29"/>
  <c r="BI30" i="29"/>
  <c r="BK30" i="29"/>
  <c r="BM30" i="29"/>
  <c r="BO30" i="29"/>
  <c r="BQ30" i="29"/>
  <c r="CF30" i="29" s="1"/>
  <c r="BS30" i="29"/>
  <c r="BU30" i="29"/>
  <c r="BW30" i="29"/>
  <c r="BG31" i="29"/>
  <c r="BI31" i="29"/>
  <c r="BK31" i="29"/>
  <c r="CD31" i="29" s="1"/>
  <c r="BM31" i="29"/>
  <c r="BO31" i="29"/>
  <c r="BQ31" i="29"/>
  <c r="CF31" i="29" s="1"/>
  <c r="BS31" i="29"/>
  <c r="BU31" i="29"/>
  <c r="BW31" i="29"/>
  <c r="BG32" i="29"/>
  <c r="BI32" i="29"/>
  <c r="BK32" i="29"/>
  <c r="BM32" i="29"/>
  <c r="BO32" i="29"/>
  <c r="BQ32" i="29"/>
  <c r="BS32" i="29"/>
  <c r="BU32" i="29"/>
  <c r="BW32" i="29"/>
  <c r="CD32" i="29" s="1"/>
  <c r="BG33" i="29"/>
  <c r="BI33" i="29"/>
  <c r="BK33" i="29"/>
  <c r="BM33" i="29"/>
  <c r="BO33" i="29"/>
  <c r="BQ33" i="29"/>
  <c r="BS33" i="29"/>
  <c r="BU33" i="29"/>
  <c r="BW33" i="29"/>
  <c r="BG34" i="29"/>
  <c r="BI34" i="29"/>
  <c r="BK34" i="29"/>
  <c r="BM34" i="29"/>
  <c r="BO34" i="29"/>
  <c r="BQ34" i="29"/>
  <c r="BS34" i="29"/>
  <c r="BU34" i="29"/>
  <c r="BW34" i="29"/>
  <c r="BG35" i="29"/>
  <c r="BI35" i="29"/>
  <c r="BK35" i="29"/>
  <c r="BM35" i="29"/>
  <c r="BO35" i="29"/>
  <c r="BQ35" i="29"/>
  <c r="BS35" i="29"/>
  <c r="CD35" i="29" s="1"/>
  <c r="BU35" i="29"/>
  <c r="BW35" i="29"/>
  <c r="BG36" i="29"/>
  <c r="CD36" i="29" s="1"/>
  <c r="BI36" i="29"/>
  <c r="BK36" i="29"/>
  <c r="BM36" i="29"/>
  <c r="BO36" i="29"/>
  <c r="BQ36" i="29"/>
  <c r="BS36" i="29"/>
  <c r="BU36" i="29"/>
  <c r="BW36" i="29"/>
  <c r="BG37" i="29"/>
  <c r="BI37" i="29"/>
  <c r="BK37" i="29"/>
  <c r="BM37" i="29"/>
  <c r="BO37" i="29"/>
  <c r="BQ37" i="29"/>
  <c r="BS37" i="29"/>
  <c r="BU37" i="29"/>
  <c r="BW37" i="29"/>
  <c r="CD37" i="29" s="1"/>
  <c r="CA13" i="29"/>
  <c r="CC13" i="29"/>
  <c r="CA14" i="29"/>
  <c r="CD14" i="29" s="1"/>
  <c r="CC14" i="29"/>
  <c r="CA15" i="29"/>
  <c r="CC15" i="29"/>
  <c r="CA16" i="29"/>
  <c r="CC16" i="29"/>
  <c r="CA17" i="29"/>
  <c r="CC17" i="29"/>
  <c r="CA18" i="29"/>
  <c r="CC18" i="29"/>
  <c r="CF18" i="29" s="1"/>
  <c r="CA19" i="29"/>
  <c r="CC19" i="29"/>
  <c r="CF19" i="29" s="1"/>
  <c r="CA20" i="29"/>
  <c r="CC20" i="29"/>
  <c r="CA21" i="29"/>
  <c r="CC21" i="29"/>
  <c r="CA22" i="29"/>
  <c r="CC22" i="29"/>
  <c r="CF22" i="29" s="1"/>
  <c r="CA23" i="29"/>
  <c r="CD23" i="29" s="1"/>
  <c r="CC23" i="29"/>
  <c r="CA24" i="29"/>
  <c r="CD24" i="29" s="1"/>
  <c r="CC24" i="29"/>
  <c r="CA25" i="29"/>
  <c r="CC25" i="29"/>
  <c r="CA26" i="29"/>
  <c r="CC26" i="29"/>
  <c r="CA27" i="29"/>
  <c r="CC27" i="29"/>
  <c r="CA28" i="29"/>
  <c r="CC28" i="29"/>
  <c r="CA29" i="29"/>
  <c r="CC29" i="29"/>
  <c r="CA30" i="29"/>
  <c r="CD30" i="29" s="1"/>
  <c r="CC30" i="29"/>
  <c r="CA31" i="29"/>
  <c r="CC31" i="29"/>
  <c r="CA32" i="29"/>
  <c r="CC32" i="29"/>
  <c r="CF32" i="29" s="1"/>
  <c r="CA33" i="29"/>
  <c r="CD33" i="29" s="1"/>
  <c r="CC33" i="29"/>
  <c r="CA34" i="29"/>
  <c r="CD34" i="29" s="1"/>
  <c r="CC34" i="29"/>
  <c r="CA35" i="29"/>
  <c r="CC35" i="29"/>
  <c r="CA36" i="29"/>
  <c r="CC36" i="29"/>
  <c r="CA37" i="29"/>
  <c r="CC37" i="29"/>
  <c r="BY13" i="29"/>
  <c r="BY14" i="29"/>
  <c r="CF14" i="29" s="1"/>
  <c r="BY15" i="29"/>
  <c r="BY16" i="29"/>
  <c r="CF16" i="29" s="1"/>
  <c r="BY17" i="29"/>
  <c r="CF17" i="29" s="1"/>
  <c r="BY18" i="29"/>
  <c r="BY19" i="29"/>
  <c r="BY20" i="29"/>
  <c r="BY21" i="29"/>
  <c r="BY22" i="29"/>
  <c r="BY23" i="29"/>
  <c r="CF23" i="29" s="1"/>
  <c r="BY24" i="29"/>
  <c r="BY25" i="29"/>
  <c r="CF25" i="29" s="1"/>
  <c r="BY26" i="29"/>
  <c r="BY27" i="29"/>
  <c r="BY28" i="29"/>
  <c r="BY29" i="29"/>
  <c r="BY30" i="29"/>
  <c r="BY31" i="29"/>
  <c r="BY32" i="29"/>
  <c r="BY33" i="29"/>
  <c r="BY34" i="29"/>
  <c r="BY35" i="29"/>
  <c r="BY36" i="29"/>
  <c r="CF36" i="29" s="1"/>
  <c r="BY37" i="29"/>
  <c r="CI13" i="29"/>
  <c r="CK13" i="29"/>
  <c r="CM13" i="29"/>
  <c r="CO13" i="29"/>
  <c r="CQ13" i="29"/>
  <c r="CS13" i="29"/>
  <c r="CT13" i="29"/>
  <c r="CI14" i="29"/>
  <c r="CZ14" i="29" s="1"/>
  <c r="CK14" i="29"/>
  <c r="CM14" i="29"/>
  <c r="CO14" i="29"/>
  <c r="CQ14" i="29"/>
  <c r="CS14" i="29"/>
  <c r="CT14" i="29"/>
  <c r="CI15" i="29"/>
  <c r="CK15" i="29"/>
  <c r="CM15" i="29"/>
  <c r="CO15" i="29"/>
  <c r="CQ15" i="29"/>
  <c r="CS15" i="29"/>
  <c r="CT15" i="29"/>
  <c r="CV15" i="29"/>
  <c r="CI16" i="29"/>
  <c r="CK16" i="29"/>
  <c r="CM16" i="29"/>
  <c r="CO16" i="29"/>
  <c r="CQ16" i="29"/>
  <c r="CS16" i="29"/>
  <c r="CZ16" i="29" s="1"/>
  <c r="CT16" i="29"/>
  <c r="CI17" i="29"/>
  <c r="CK17" i="29"/>
  <c r="CM17" i="29"/>
  <c r="CO17" i="29"/>
  <c r="CQ17" i="29"/>
  <c r="CS17" i="29"/>
  <c r="CT17" i="29"/>
  <c r="CW17" i="29"/>
  <c r="CI18" i="29"/>
  <c r="CK18" i="29"/>
  <c r="CM18" i="29"/>
  <c r="CO18" i="29"/>
  <c r="CQ18" i="29"/>
  <c r="CS18" i="29"/>
  <c r="CW18" i="29"/>
  <c r="CZ18" i="29" s="1"/>
  <c r="CI19" i="29"/>
  <c r="CK19" i="29"/>
  <c r="CM19" i="29"/>
  <c r="CO19" i="29"/>
  <c r="CQ19" i="29"/>
  <c r="CS19" i="29"/>
  <c r="CI20" i="29"/>
  <c r="CK20" i="29"/>
  <c r="CM20" i="29"/>
  <c r="CO20" i="29"/>
  <c r="CQ20" i="29"/>
  <c r="CS20" i="29"/>
  <c r="CT20" i="29"/>
  <c r="CW20" i="29"/>
  <c r="CZ20" i="29" s="1"/>
  <c r="CI21" i="29"/>
  <c r="CK21" i="29"/>
  <c r="CM21" i="29"/>
  <c r="CO21" i="29"/>
  <c r="CQ21" i="29"/>
  <c r="CS21" i="29"/>
  <c r="CT21" i="29"/>
  <c r="CI22" i="29"/>
  <c r="CZ22" i="29" s="1"/>
  <c r="CK22" i="29"/>
  <c r="CM22" i="29"/>
  <c r="CO22" i="29"/>
  <c r="CQ22" i="29"/>
  <c r="CS22" i="29"/>
  <c r="CT22" i="29"/>
  <c r="CW22" i="29"/>
  <c r="CI23" i="29"/>
  <c r="CK23" i="29"/>
  <c r="CM23" i="29"/>
  <c r="CO23" i="29"/>
  <c r="CQ23" i="29"/>
  <c r="CS23" i="29"/>
  <c r="CT23" i="29"/>
  <c r="CI24" i="29"/>
  <c r="CK24" i="29"/>
  <c r="CM24" i="29"/>
  <c r="CO24" i="29"/>
  <c r="CQ24" i="29"/>
  <c r="CS24" i="29"/>
  <c r="CZ24" i="29" s="1"/>
  <c r="CT24" i="29"/>
  <c r="CU24" i="29" s="1"/>
  <c r="CW24" i="29"/>
  <c r="CI25" i="29"/>
  <c r="CK25" i="29"/>
  <c r="CM25" i="29"/>
  <c r="CO25" i="29"/>
  <c r="CQ25" i="29"/>
  <c r="CS25" i="29"/>
  <c r="CT25" i="29"/>
  <c r="CI26" i="29"/>
  <c r="CK26" i="29"/>
  <c r="CM26" i="29"/>
  <c r="CO26" i="29"/>
  <c r="CQ26" i="29"/>
  <c r="CS26" i="29"/>
  <c r="CT26" i="29"/>
  <c r="CV26" i="29"/>
  <c r="CW35" i="29" s="1"/>
  <c r="CZ35" i="29" s="1"/>
  <c r="CW26" i="29"/>
  <c r="CZ26" i="29" s="1"/>
  <c r="CI27" i="29"/>
  <c r="CK27" i="29"/>
  <c r="CM27" i="29"/>
  <c r="CZ27" i="29" s="1"/>
  <c r="CO27" i="29"/>
  <c r="CQ27" i="29"/>
  <c r="CS27" i="29"/>
  <c r="CT27" i="29"/>
  <c r="CW27" i="29"/>
  <c r="CI28" i="29"/>
  <c r="CK28" i="29"/>
  <c r="CM28" i="29"/>
  <c r="CO28" i="29"/>
  <c r="CQ28" i="29"/>
  <c r="CS28" i="29"/>
  <c r="CT28" i="29"/>
  <c r="CI29" i="29"/>
  <c r="CK29" i="29"/>
  <c r="CM29" i="29"/>
  <c r="CO29" i="29"/>
  <c r="CQ29" i="29"/>
  <c r="CS29" i="29"/>
  <c r="CZ29" i="29" s="1"/>
  <c r="CT29" i="29"/>
  <c r="CI30" i="29"/>
  <c r="CK30" i="29"/>
  <c r="CM30" i="29"/>
  <c r="CO30" i="29"/>
  <c r="CQ30" i="29"/>
  <c r="CS30" i="29"/>
  <c r="CT30" i="29"/>
  <c r="CI31" i="29"/>
  <c r="CK31" i="29"/>
  <c r="CM31" i="29"/>
  <c r="CO31" i="29"/>
  <c r="CQ31" i="29"/>
  <c r="CS31" i="29"/>
  <c r="CT31" i="29"/>
  <c r="CW31" i="29"/>
  <c r="CZ31" i="29" s="1"/>
  <c r="CI32" i="29"/>
  <c r="CK32" i="29"/>
  <c r="CM32" i="29"/>
  <c r="CO32" i="29"/>
  <c r="CQ32" i="29"/>
  <c r="CS32" i="29"/>
  <c r="CZ32" i="29" s="1"/>
  <c r="CT32" i="29"/>
  <c r="CI33" i="29"/>
  <c r="CK33" i="29"/>
  <c r="CM33" i="29"/>
  <c r="CO33" i="29"/>
  <c r="CQ33" i="29"/>
  <c r="CS33" i="29"/>
  <c r="CT33" i="29"/>
  <c r="CI34" i="29"/>
  <c r="CK34" i="29"/>
  <c r="CM34" i="29"/>
  <c r="CO34" i="29"/>
  <c r="CQ34" i="29"/>
  <c r="CS34" i="29"/>
  <c r="CZ34" i="29" s="1"/>
  <c r="CT34" i="29"/>
  <c r="CI35" i="29"/>
  <c r="CK35" i="29"/>
  <c r="CM35" i="29"/>
  <c r="CO35" i="29"/>
  <c r="CQ35" i="29"/>
  <c r="CS35" i="29"/>
  <c r="CT35" i="29"/>
  <c r="CI36" i="29"/>
  <c r="CK36" i="29"/>
  <c r="CM36" i="29"/>
  <c r="CO36" i="29"/>
  <c r="CQ36" i="29"/>
  <c r="CS36" i="29"/>
  <c r="CT36" i="29"/>
  <c r="CV36" i="29"/>
  <c r="CW34" i="29" s="1"/>
  <c r="CW36" i="29"/>
  <c r="CI37" i="29"/>
  <c r="CK37" i="29"/>
  <c r="CM37" i="29"/>
  <c r="CO37" i="29"/>
  <c r="CQ37" i="29"/>
  <c r="CS37" i="29"/>
  <c r="CZ37" i="29" s="1"/>
  <c r="CT37" i="29"/>
  <c r="CU37" i="29" s="1"/>
  <c r="CW37" i="29"/>
  <c r="DG13" i="29"/>
  <c r="DI13" i="29"/>
  <c r="DK13" i="29"/>
  <c r="DM13" i="29"/>
  <c r="DG14" i="29"/>
  <c r="DI14" i="29"/>
  <c r="DK14" i="29"/>
  <c r="DM14" i="29"/>
  <c r="DG15" i="29"/>
  <c r="DI15" i="29"/>
  <c r="DK15" i="29"/>
  <c r="DM15" i="29"/>
  <c r="DG16" i="29"/>
  <c r="DI16" i="29"/>
  <c r="DK16" i="29"/>
  <c r="DM16" i="29"/>
  <c r="DG17" i="29"/>
  <c r="DI17" i="29"/>
  <c r="DK17" i="29"/>
  <c r="DM17" i="29"/>
  <c r="DG18" i="29"/>
  <c r="DI18" i="29"/>
  <c r="DK18" i="29"/>
  <c r="DM18" i="29"/>
  <c r="DG19" i="29"/>
  <c r="DI19" i="29"/>
  <c r="DK19" i="29"/>
  <c r="DM19" i="29"/>
  <c r="DG20" i="29"/>
  <c r="DI20" i="29"/>
  <c r="DK20" i="29"/>
  <c r="DM20" i="29"/>
  <c r="DG21" i="29"/>
  <c r="DI21" i="29"/>
  <c r="DK21" i="29"/>
  <c r="DM21" i="29"/>
  <c r="DG22" i="29"/>
  <c r="DI22" i="29"/>
  <c r="DK22" i="29"/>
  <c r="DM22" i="29"/>
  <c r="DD23" i="29"/>
  <c r="DE15" i="29" s="1"/>
  <c r="DG23" i="29"/>
  <c r="DI23" i="29"/>
  <c r="DK23" i="29"/>
  <c r="DM23" i="29"/>
  <c r="DG24" i="29"/>
  <c r="DI24" i="29"/>
  <c r="DK24" i="29"/>
  <c r="DM24" i="29"/>
  <c r="DG25" i="29"/>
  <c r="DI25" i="29"/>
  <c r="DK25" i="29"/>
  <c r="DM25" i="29"/>
  <c r="DG26" i="29"/>
  <c r="DI26" i="29"/>
  <c r="DK26" i="29"/>
  <c r="DM26" i="29"/>
  <c r="DV26" i="29" s="1"/>
  <c r="DG27" i="29"/>
  <c r="DV27" i="29" s="1"/>
  <c r="DI27" i="29"/>
  <c r="DK27" i="29"/>
  <c r="DM27" i="29"/>
  <c r="DG28" i="29"/>
  <c r="DI28" i="29"/>
  <c r="DK28" i="29"/>
  <c r="DM28" i="29"/>
  <c r="DG29" i="29"/>
  <c r="DI29" i="29"/>
  <c r="DK29" i="29"/>
  <c r="DM29" i="29"/>
  <c r="DG30" i="29"/>
  <c r="DI30" i="29"/>
  <c r="DK30" i="29"/>
  <c r="DM30" i="29"/>
  <c r="DG31" i="29"/>
  <c r="DI31" i="29"/>
  <c r="DK31" i="29"/>
  <c r="DM31" i="29"/>
  <c r="DG32" i="29"/>
  <c r="DI32" i="29"/>
  <c r="DK32" i="29"/>
  <c r="DM32" i="29"/>
  <c r="DG33" i="29"/>
  <c r="DI33" i="29"/>
  <c r="DK33" i="29"/>
  <c r="DM33" i="29"/>
  <c r="DG34" i="29"/>
  <c r="DI34" i="29"/>
  <c r="DK34" i="29"/>
  <c r="DM34" i="29"/>
  <c r="DG35" i="29"/>
  <c r="DI35" i="29"/>
  <c r="DK35" i="29"/>
  <c r="DM35" i="29"/>
  <c r="DG36" i="29"/>
  <c r="DI36" i="29"/>
  <c r="DK36" i="29"/>
  <c r="DM36" i="29"/>
  <c r="DD37" i="29"/>
  <c r="DE30" i="29" s="1"/>
  <c r="DG37" i="29"/>
  <c r="DI37" i="29"/>
  <c r="DK37" i="29"/>
  <c r="DM37" i="29"/>
  <c r="DO13" i="29"/>
  <c r="DQ13" i="29"/>
  <c r="DS13" i="29"/>
  <c r="DO14" i="29"/>
  <c r="DV14" i="29" s="1"/>
  <c r="DQ14" i="29"/>
  <c r="DS14" i="29"/>
  <c r="DO15" i="29"/>
  <c r="DQ15" i="29"/>
  <c r="DS15" i="29"/>
  <c r="DO16" i="29"/>
  <c r="DQ16" i="29"/>
  <c r="DS16" i="29"/>
  <c r="DO17" i="29"/>
  <c r="DQ17" i="29"/>
  <c r="DS17" i="29"/>
  <c r="DO18" i="29"/>
  <c r="DQ18" i="29"/>
  <c r="DS18" i="29"/>
  <c r="DO19" i="29"/>
  <c r="DQ19" i="29"/>
  <c r="DS19" i="29"/>
  <c r="DO20" i="29"/>
  <c r="DQ20" i="29"/>
  <c r="DS20" i="29"/>
  <c r="DO21" i="29"/>
  <c r="DQ21" i="29"/>
  <c r="DS21" i="29"/>
  <c r="DO22" i="29"/>
  <c r="DQ22" i="29"/>
  <c r="DS22" i="29"/>
  <c r="DO23" i="29"/>
  <c r="DQ23" i="29"/>
  <c r="DS23" i="29"/>
  <c r="DV23" i="29" s="1"/>
  <c r="DO24" i="29"/>
  <c r="DQ24" i="29"/>
  <c r="DV24" i="29" s="1"/>
  <c r="DS24" i="29"/>
  <c r="DO25" i="29"/>
  <c r="DQ25" i="29"/>
  <c r="DS25" i="29"/>
  <c r="DO26" i="29"/>
  <c r="DQ26" i="29"/>
  <c r="DS26" i="29"/>
  <c r="DO27" i="29"/>
  <c r="DQ27" i="29"/>
  <c r="DS27" i="29"/>
  <c r="DO28" i="29"/>
  <c r="DQ28" i="29"/>
  <c r="DS28" i="29"/>
  <c r="DO29" i="29"/>
  <c r="DQ29" i="29"/>
  <c r="DS29" i="29"/>
  <c r="DO30" i="29"/>
  <c r="DQ30" i="29"/>
  <c r="DS30" i="29"/>
  <c r="DO31" i="29"/>
  <c r="DQ31" i="29"/>
  <c r="DS31" i="29"/>
  <c r="DO32" i="29"/>
  <c r="DQ32" i="29"/>
  <c r="DS32" i="29"/>
  <c r="DO33" i="29"/>
  <c r="DQ33" i="29"/>
  <c r="DS33" i="29"/>
  <c r="DO34" i="29"/>
  <c r="DQ34" i="29"/>
  <c r="DS34" i="29"/>
  <c r="DO35" i="29"/>
  <c r="DQ35" i="29"/>
  <c r="DS35" i="29"/>
  <c r="DO36" i="29"/>
  <c r="DQ36" i="29"/>
  <c r="DS36" i="29"/>
  <c r="DO37" i="29"/>
  <c r="DQ37" i="29"/>
  <c r="DS37" i="29"/>
  <c r="DU13" i="29"/>
  <c r="DU14" i="29"/>
  <c r="DU15" i="29"/>
  <c r="DU16" i="29"/>
  <c r="DU17" i="29"/>
  <c r="DU18" i="29"/>
  <c r="DU19" i="29"/>
  <c r="DU20" i="29"/>
  <c r="DU21" i="29"/>
  <c r="DU22" i="29"/>
  <c r="DU23" i="29"/>
  <c r="DU24" i="29"/>
  <c r="DU25" i="29"/>
  <c r="DU26" i="29"/>
  <c r="DU27" i="29"/>
  <c r="DU28" i="29"/>
  <c r="DV28" i="29" s="1"/>
  <c r="DU29" i="29"/>
  <c r="DV29" i="29" s="1"/>
  <c r="DU30" i="29"/>
  <c r="DV30" i="29" s="1"/>
  <c r="DU31" i="29"/>
  <c r="DU32" i="29"/>
  <c r="DU33" i="29"/>
  <c r="DU34" i="29"/>
  <c r="DU35" i="29"/>
  <c r="DU36" i="29"/>
  <c r="DU37" i="29"/>
  <c r="EY13" i="29"/>
  <c r="EW13" i="29"/>
  <c r="DZ13" i="29"/>
  <c r="EB13" i="29"/>
  <c r="ED13" i="29"/>
  <c r="EF13" i="29"/>
  <c r="EH13" i="29"/>
  <c r="EJ13" i="29"/>
  <c r="EL13" i="29"/>
  <c r="EN13" i="29"/>
  <c r="EP13" i="29"/>
  <c r="ER13" i="29"/>
  <c r="DZ14" i="29"/>
  <c r="EB14" i="29"/>
  <c r="ED14" i="29"/>
  <c r="EF14" i="29"/>
  <c r="EH14" i="29"/>
  <c r="EJ14" i="29"/>
  <c r="EL14" i="29"/>
  <c r="EN14" i="29"/>
  <c r="EP14" i="29"/>
  <c r="ER14" i="29"/>
  <c r="DZ15" i="29"/>
  <c r="EB15" i="29"/>
  <c r="ED15" i="29"/>
  <c r="EF15" i="29"/>
  <c r="EH15" i="29"/>
  <c r="EJ15" i="29"/>
  <c r="EL15" i="29"/>
  <c r="EN15" i="29"/>
  <c r="EP15" i="29"/>
  <c r="ER15" i="29"/>
  <c r="DZ16" i="29"/>
  <c r="EB16" i="29"/>
  <c r="ED16" i="29"/>
  <c r="EF16" i="29"/>
  <c r="EH16" i="29"/>
  <c r="EJ16" i="29"/>
  <c r="EL16" i="29"/>
  <c r="EN16" i="29"/>
  <c r="EP16" i="29"/>
  <c r="ER16" i="29"/>
  <c r="DZ17" i="29"/>
  <c r="EB17" i="29"/>
  <c r="ED17" i="29"/>
  <c r="EF17" i="29"/>
  <c r="EH17" i="29"/>
  <c r="EJ17" i="29"/>
  <c r="EL17" i="29"/>
  <c r="EN17" i="29"/>
  <c r="EP17" i="29"/>
  <c r="ER17" i="29"/>
  <c r="DZ18" i="29"/>
  <c r="EB18" i="29"/>
  <c r="ED18" i="29"/>
  <c r="EF18" i="29"/>
  <c r="EH18" i="29"/>
  <c r="EJ18" i="29"/>
  <c r="EL18" i="29"/>
  <c r="EN18" i="29"/>
  <c r="EP18" i="29"/>
  <c r="ER18" i="29"/>
  <c r="DZ19" i="29"/>
  <c r="EB19" i="29"/>
  <c r="ED19" i="29"/>
  <c r="EF19" i="29"/>
  <c r="EH19" i="29"/>
  <c r="EJ19" i="29"/>
  <c r="EL19" i="29"/>
  <c r="EN19" i="29"/>
  <c r="EP19" i="29"/>
  <c r="ER19" i="29"/>
  <c r="DZ20" i="29"/>
  <c r="EB20" i="29"/>
  <c r="ED20" i="29"/>
  <c r="EF20" i="29"/>
  <c r="EH20" i="29"/>
  <c r="EJ20" i="29"/>
  <c r="EL20" i="29"/>
  <c r="EN20" i="29"/>
  <c r="EP20" i="29"/>
  <c r="ER20" i="29"/>
  <c r="DZ21" i="29"/>
  <c r="EB21" i="29"/>
  <c r="ED21" i="29"/>
  <c r="EF21" i="29"/>
  <c r="EH21" i="29"/>
  <c r="EJ21" i="29"/>
  <c r="EL21" i="29"/>
  <c r="EN21" i="29"/>
  <c r="EP21" i="29"/>
  <c r="ER21" i="29"/>
  <c r="DZ22" i="29"/>
  <c r="EB22" i="29"/>
  <c r="ED22" i="29"/>
  <c r="EF22" i="29"/>
  <c r="EH22" i="29"/>
  <c r="EJ22" i="29"/>
  <c r="EL22" i="29"/>
  <c r="EN22" i="29"/>
  <c r="EP22" i="29"/>
  <c r="ER22" i="29"/>
  <c r="DZ23" i="29"/>
  <c r="EB23" i="29"/>
  <c r="ED23" i="29"/>
  <c r="EF23" i="29"/>
  <c r="EH23" i="29"/>
  <c r="EJ23" i="29"/>
  <c r="EL23" i="29"/>
  <c r="EN23" i="29"/>
  <c r="EP23" i="29"/>
  <c r="ER23" i="29"/>
  <c r="DZ24" i="29"/>
  <c r="EB24" i="29"/>
  <c r="ED24" i="29"/>
  <c r="EF24" i="29"/>
  <c r="EH24" i="29"/>
  <c r="EJ24" i="29"/>
  <c r="EL24" i="29"/>
  <c r="EN24" i="29"/>
  <c r="EP24" i="29"/>
  <c r="ER24" i="29"/>
  <c r="DZ25" i="29"/>
  <c r="EB25" i="29"/>
  <c r="ED25" i="29"/>
  <c r="EF25" i="29"/>
  <c r="EH25" i="29"/>
  <c r="EJ25" i="29"/>
  <c r="EL25" i="29"/>
  <c r="EN25" i="29"/>
  <c r="EP25" i="29"/>
  <c r="ER25" i="29"/>
  <c r="DZ26" i="29"/>
  <c r="EB26" i="29"/>
  <c r="ED26" i="29"/>
  <c r="EF26" i="29"/>
  <c r="EH26" i="29"/>
  <c r="EJ26" i="29"/>
  <c r="EL26" i="29"/>
  <c r="EN26" i="29"/>
  <c r="EP26" i="29"/>
  <c r="ER26" i="29"/>
  <c r="DZ27" i="29"/>
  <c r="EB27" i="29"/>
  <c r="ED27" i="29"/>
  <c r="EF27" i="29"/>
  <c r="EH27" i="29"/>
  <c r="EJ27" i="29"/>
  <c r="EL27" i="29"/>
  <c r="EN27" i="29"/>
  <c r="EP27" i="29"/>
  <c r="ER27" i="29"/>
  <c r="DZ28" i="29"/>
  <c r="EB28" i="29"/>
  <c r="ED28" i="29"/>
  <c r="EF28" i="29"/>
  <c r="EH28" i="29"/>
  <c r="EJ28" i="29"/>
  <c r="EL28" i="29"/>
  <c r="EN28" i="29"/>
  <c r="EP28" i="29"/>
  <c r="ER28" i="29"/>
  <c r="DZ29" i="29"/>
  <c r="EB29" i="29"/>
  <c r="ED29" i="29"/>
  <c r="EF29" i="29"/>
  <c r="EH29" i="29"/>
  <c r="EJ29" i="29"/>
  <c r="EL29" i="29"/>
  <c r="EN29" i="29"/>
  <c r="EP29" i="29"/>
  <c r="ER29" i="29"/>
  <c r="DZ30" i="29"/>
  <c r="EB30" i="29"/>
  <c r="ED30" i="29"/>
  <c r="EF30" i="29"/>
  <c r="EH30" i="29"/>
  <c r="EJ30" i="29"/>
  <c r="EL30" i="29"/>
  <c r="EN30" i="29"/>
  <c r="EP30" i="29"/>
  <c r="ER30" i="29"/>
  <c r="DZ31" i="29"/>
  <c r="EB31" i="29"/>
  <c r="ED31" i="29"/>
  <c r="EF31" i="29"/>
  <c r="EH31" i="29"/>
  <c r="EJ31" i="29"/>
  <c r="EL31" i="29"/>
  <c r="EN31" i="29"/>
  <c r="EP31" i="29"/>
  <c r="ER31" i="29"/>
  <c r="DZ32" i="29"/>
  <c r="EB32" i="29"/>
  <c r="ED32" i="29"/>
  <c r="EF32" i="29"/>
  <c r="EH32" i="29"/>
  <c r="EJ32" i="29"/>
  <c r="EL32" i="29"/>
  <c r="EN32" i="29"/>
  <c r="EP32" i="29"/>
  <c r="ER32" i="29"/>
  <c r="DZ33" i="29"/>
  <c r="EB33" i="29"/>
  <c r="ED33" i="29"/>
  <c r="EF33" i="29"/>
  <c r="EH33" i="29"/>
  <c r="EJ33" i="29"/>
  <c r="EL33" i="29"/>
  <c r="EN33" i="29"/>
  <c r="EP33" i="29"/>
  <c r="ER33" i="29"/>
  <c r="DZ34" i="29"/>
  <c r="EB34" i="29"/>
  <c r="ED34" i="29"/>
  <c r="EF34" i="29"/>
  <c r="EH34" i="29"/>
  <c r="EJ34" i="29"/>
  <c r="EL34" i="29"/>
  <c r="EN34" i="29"/>
  <c r="EP34" i="29"/>
  <c r="ER34" i="29"/>
  <c r="DZ35" i="29"/>
  <c r="EB35" i="29"/>
  <c r="ED35" i="29"/>
  <c r="EF35" i="29"/>
  <c r="EH35" i="29"/>
  <c r="EJ35" i="29"/>
  <c r="EL35" i="29"/>
  <c r="EN35" i="29"/>
  <c r="EP35" i="29"/>
  <c r="ER35" i="29"/>
  <c r="DZ36" i="29"/>
  <c r="EB36" i="29"/>
  <c r="ED36" i="29"/>
  <c r="EF36" i="29"/>
  <c r="EH36" i="29"/>
  <c r="EJ36" i="29"/>
  <c r="EL36" i="29"/>
  <c r="EN36" i="29"/>
  <c r="EP36" i="29"/>
  <c r="ER36" i="29"/>
  <c r="DZ37" i="29"/>
  <c r="EB37" i="29"/>
  <c r="ED37" i="29"/>
  <c r="EF37" i="29"/>
  <c r="EH37" i="29"/>
  <c r="EJ37" i="29"/>
  <c r="EL37" i="29"/>
  <c r="EN37" i="29"/>
  <c r="EP37" i="29"/>
  <c r="ER37" i="29"/>
  <c r="ET29" i="29"/>
  <c r="ET30" i="29"/>
  <c r="ET31" i="29"/>
  <c r="ET32" i="29"/>
  <c r="ET33" i="29"/>
  <c r="ET34" i="29"/>
  <c r="ET35" i="29"/>
  <c r="ET36" i="29"/>
  <c r="ET37" i="29"/>
  <c r="EW14" i="29"/>
  <c r="EY14" i="29"/>
  <c r="EW15" i="29"/>
  <c r="EY15" i="29"/>
  <c r="EW16" i="29"/>
  <c r="EY16" i="29"/>
  <c r="EW17" i="29"/>
  <c r="EY17" i="29"/>
  <c r="EW18" i="29"/>
  <c r="EX17" i="29" s="1"/>
  <c r="FA17" i="29" s="1"/>
  <c r="EY18" i="29"/>
  <c r="EW19" i="29"/>
  <c r="EX22" i="29" s="1"/>
  <c r="FA22" i="29" s="1"/>
  <c r="EY19" i="29"/>
  <c r="EZ13" i="29" s="1"/>
  <c r="FC13" i="29" s="1"/>
  <c r="EW20" i="29"/>
  <c r="EX20" i="29" s="1"/>
  <c r="FA20" i="29" s="1"/>
  <c r="EY20" i="29"/>
  <c r="EZ20" i="29" s="1"/>
  <c r="FC20" i="29" s="1"/>
  <c r="EW21" i="29"/>
  <c r="EY21" i="29"/>
  <c r="EW22" i="29"/>
  <c r="EY22" i="29"/>
  <c r="EW23" i="29"/>
  <c r="EX23" i="29" s="1"/>
  <c r="FA23" i="29" s="1"/>
  <c r="EY23" i="29"/>
  <c r="EW24" i="29"/>
  <c r="EY24" i="29"/>
  <c r="EW25" i="29"/>
  <c r="EY25" i="29"/>
  <c r="EW26" i="29"/>
  <c r="EY26" i="29"/>
  <c r="EW27" i="29"/>
  <c r="EY27" i="29"/>
  <c r="EW28" i="29"/>
  <c r="EY28" i="29"/>
  <c r="EV29" i="29"/>
  <c r="EW29" i="29"/>
  <c r="EY29" i="29"/>
  <c r="EV30" i="29"/>
  <c r="EW30" i="29"/>
  <c r="EX30" i="29" s="1"/>
  <c r="FA30" i="29" s="1"/>
  <c r="EY30" i="29"/>
  <c r="EV31" i="29"/>
  <c r="EW31" i="29"/>
  <c r="EY31" i="29"/>
  <c r="EV32" i="29"/>
  <c r="EW32" i="29"/>
  <c r="EY32" i="29"/>
  <c r="EV33" i="29"/>
  <c r="EW33" i="29"/>
  <c r="EY33" i="29"/>
  <c r="EV34" i="29"/>
  <c r="EW34" i="29"/>
  <c r="EY34" i="29"/>
  <c r="EV35" i="29"/>
  <c r="EW35" i="29"/>
  <c r="EY35" i="29"/>
  <c r="EZ35" i="29" s="1"/>
  <c r="FC35" i="29" s="1"/>
  <c r="EV36" i="29"/>
  <c r="EW36" i="29"/>
  <c r="EX36" i="29" s="1"/>
  <c r="FA36" i="29" s="1"/>
  <c r="EY36" i="29"/>
  <c r="EZ36" i="29" s="1"/>
  <c r="FC36" i="29" s="1"/>
  <c r="EV37" i="29"/>
  <c r="EW37" i="29"/>
  <c r="EY37" i="29"/>
  <c r="CW30" i="29"/>
  <c r="CZ30" i="29" s="1"/>
  <c r="CW29" i="29"/>
  <c r="CW25" i="29"/>
  <c r="CW32" i="29"/>
  <c r="CW14" i="29"/>
  <c r="CD25" i="29"/>
  <c r="CD16" i="29"/>
  <c r="CD27" i="29"/>
  <c r="CF34" i="29"/>
  <c r="CF21" i="29"/>
  <c r="CF13" i="29"/>
  <c r="CF37" i="29"/>
  <c r="CW28" i="29"/>
  <c r="CW21" i="29"/>
  <c r="CW16" i="29"/>
  <c r="DE27" i="29"/>
  <c r="DE19" i="29"/>
  <c r="DV19" i="29"/>
  <c r="DE33" i="29"/>
  <c r="DE14" i="29"/>
  <c r="DE36" i="29"/>
  <c r="DE28" i="29"/>
  <c r="DE17" i="29"/>
  <c r="DE16" i="29"/>
  <c r="DE23" i="29"/>
  <c r="DE20" i="29"/>
  <c r="DE26" i="29"/>
  <c r="DE29" i="29"/>
  <c r="DE18" i="29"/>
  <c r="DE24" i="29"/>
  <c r="DE21" i="29"/>
  <c r="EX19" i="29"/>
  <c r="FA19" i="29" s="1"/>
  <c r="EZ34" i="29"/>
  <c r="FC34" i="29"/>
  <c r="EZ22" i="29"/>
  <c r="FC22" i="29"/>
  <c r="EX26" i="29"/>
  <c r="FA26" i="29" s="1"/>
  <c r="EZ37" i="29"/>
  <c r="FC37" i="29"/>
  <c r="EX31" i="29"/>
  <c r="FA31" i="29" s="1"/>
  <c r="EZ30" i="29"/>
  <c r="FC30" i="29"/>
  <c r="E131" i="27"/>
  <c r="E130" i="27"/>
  <c r="E129" i="27"/>
  <c r="E128" i="27"/>
  <c r="E127" i="27"/>
  <c r="E126" i="27"/>
  <c r="E125" i="27"/>
  <c r="E124" i="27"/>
  <c r="E123" i="27"/>
  <c r="E122" i="27"/>
  <c r="E121" i="27"/>
  <c r="E120" i="27"/>
  <c r="E119" i="27"/>
  <c r="E118" i="27"/>
  <c r="E117" i="27"/>
  <c r="E116" i="27"/>
  <c r="E115" i="27"/>
  <c r="E114" i="27"/>
  <c r="E113" i="27"/>
  <c r="E111" i="27"/>
  <c r="E110" i="27"/>
  <c r="E109" i="27"/>
  <c r="E108" i="27"/>
  <c r="E112" i="27"/>
  <c r="B107" i="27"/>
  <c r="B114" i="27"/>
  <c r="B131" i="27"/>
  <c r="B130" i="27"/>
  <c r="B117" i="27"/>
  <c r="B119" i="27"/>
  <c r="B74" i="29"/>
  <c r="B75" i="29"/>
  <c r="B76" i="29"/>
  <c r="D70" i="29"/>
  <c r="J45" i="27"/>
  <c r="G39" i="27"/>
  <c r="U76" i="27"/>
  <c r="U77" i="27" s="1"/>
  <c r="U78" i="27" s="1"/>
  <c r="U49" i="27"/>
  <c r="U48" i="27"/>
  <c r="U51" i="27" s="1"/>
  <c r="U54" i="27" s="1"/>
  <c r="U57" i="27" s="1"/>
  <c r="U47" i="27"/>
  <c r="U50" i="27" s="1"/>
  <c r="EU40" i="29"/>
  <c r="ES40" i="29"/>
  <c r="EQ40" i="29"/>
  <c r="EO40" i="29"/>
  <c r="EM40" i="29"/>
  <c r="EK40" i="29"/>
  <c r="EI40" i="29"/>
  <c r="EG40" i="29"/>
  <c r="EE40" i="29"/>
  <c r="EC40" i="29"/>
  <c r="EA40" i="29"/>
  <c r="DY40" i="29"/>
  <c r="DT40" i="29"/>
  <c r="DR40" i="29"/>
  <c r="DP40" i="29"/>
  <c r="DN40" i="29"/>
  <c r="DL40" i="29"/>
  <c r="DJ40" i="29"/>
  <c r="DH40" i="29"/>
  <c r="DF40" i="29"/>
  <c r="CR40" i="29"/>
  <c r="CP40" i="29"/>
  <c r="CN40" i="29"/>
  <c r="CL40" i="29"/>
  <c r="CJ40" i="29"/>
  <c r="CH40" i="29"/>
  <c r="CB40" i="29"/>
  <c r="BZ40" i="29"/>
  <c r="BX40" i="29"/>
  <c r="BV40" i="29"/>
  <c r="BT40" i="29"/>
  <c r="BR40" i="29"/>
  <c r="BP40" i="29"/>
  <c r="BN40" i="29"/>
  <c r="BL40" i="29"/>
  <c r="BJ40" i="29"/>
  <c r="BH40" i="29"/>
  <c r="BF40" i="29"/>
  <c r="AZ40" i="29"/>
  <c r="AX40" i="29"/>
  <c r="AV40" i="29"/>
  <c r="AT40" i="29"/>
  <c r="AR40" i="29"/>
  <c r="AP40" i="29"/>
  <c r="AN40" i="29"/>
  <c r="AL40" i="29"/>
  <c r="AJ40" i="29"/>
  <c r="AH40" i="29"/>
  <c r="AF40" i="29"/>
  <c r="AD40" i="29"/>
  <c r="AB40" i="29"/>
  <c r="Z40" i="29"/>
  <c r="X40" i="29"/>
  <c r="V40" i="29"/>
  <c r="T40" i="29"/>
  <c r="R40" i="29"/>
  <c r="P40" i="29"/>
  <c r="N40" i="29"/>
  <c r="L40" i="29"/>
  <c r="J40" i="29"/>
  <c r="H40" i="29"/>
  <c r="F40" i="29"/>
  <c r="D40" i="29"/>
  <c r="EU39" i="29"/>
  <c r="ES39" i="29"/>
  <c r="EQ39" i="29"/>
  <c r="EO39" i="29"/>
  <c r="EM39" i="29"/>
  <c r="EK39" i="29"/>
  <c r="EI39" i="29"/>
  <c r="EG39" i="29"/>
  <c r="EE39" i="29"/>
  <c r="EC39" i="29"/>
  <c r="EA39" i="29"/>
  <c r="DY39" i="29"/>
  <c r="DT39" i="29"/>
  <c r="DR39" i="29"/>
  <c r="DP39" i="29"/>
  <c r="DN39" i="29"/>
  <c r="DL39" i="29"/>
  <c r="DJ39" i="29"/>
  <c r="DH39" i="29"/>
  <c r="DF39" i="29"/>
  <c r="CR39" i="29"/>
  <c r="CP39" i="29"/>
  <c r="CN39" i="29"/>
  <c r="CL39" i="29"/>
  <c r="CJ39" i="29"/>
  <c r="CH39" i="29"/>
  <c r="CB39" i="29"/>
  <c r="BZ39" i="29"/>
  <c r="BX39" i="29"/>
  <c r="BV39" i="29"/>
  <c r="BT39" i="29"/>
  <c r="BR39" i="29"/>
  <c r="BP39" i="29"/>
  <c r="BN39" i="29"/>
  <c r="BL39" i="29"/>
  <c r="BJ39" i="29"/>
  <c r="BH39" i="29"/>
  <c r="BF39" i="29"/>
  <c r="AZ39" i="29"/>
  <c r="AX39" i="29"/>
  <c r="AV39" i="29"/>
  <c r="AT39" i="29"/>
  <c r="AR39" i="29"/>
  <c r="AP39" i="29"/>
  <c r="AN39" i="29"/>
  <c r="AL39" i="29"/>
  <c r="AJ39" i="29"/>
  <c r="AH39" i="29"/>
  <c r="AF39" i="29"/>
  <c r="AD39" i="29"/>
  <c r="AB39" i="29"/>
  <c r="Z39" i="29"/>
  <c r="X39" i="29"/>
  <c r="V39" i="29"/>
  <c r="T39" i="29"/>
  <c r="R39" i="29"/>
  <c r="P39" i="29"/>
  <c r="N39" i="29"/>
  <c r="L39" i="29"/>
  <c r="J39" i="29"/>
  <c r="H39" i="29"/>
  <c r="F39" i="29"/>
  <c r="D39" i="29"/>
  <c r="EU38" i="29"/>
  <c r="ES38" i="29"/>
  <c r="EQ38" i="29"/>
  <c r="EO38" i="29"/>
  <c r="EM38" i="29"/>
  <c r="EK38" i="29"/>
  <c r="EI38" i="29"/>
  <c r="EG38" i="29"/>
  <c r="EE38" i="29"/>
  <c r="EC38" i="29"/>
  <c r="EA38" i="29"/>
  <c r="DY38" i="29"/>
  <c r="DT38" i="29"/>
  <c r="DR38" i="29"/>
  <c r="DP38" i="29"/>
  <c r="DN38" i="29"/>
  <c r="DL38" i="29"/>
  <c r="DJ38" i="29"/>
  <c r="DH38" i="29"/>
  <c r="DF38" i="29"/>
  <c r="CR38" i="29"/>
  <c r="CP38" i="29"/>
  <c r="CN38" i="29"/>
  <c r="CL38" i="29"/>
  <c r="CJ38" i="29"/>
  <c r="CH38" i="29"/>
  <c r="CB38" i="29"/>
  <c r="BZ38" i="29"/>
  <c r="BX38" i="29"/>
  <c r="BV38" i="29"/>
  <c r="BT38" i="29"/>
  <c r="BR38" i="29"/>
  <c r="BP38" i="29"/>
  <c r="BN38" i="29"/>
  <c r="BL38" i="29"/>
  <c r="BJ38" i="29"/>
  <c r="BH38" i="29"/>
  <c r="BF38" i="29"/>
  <c r="AZ38" i="29"/>
  <c r="AX38" i="29"/>
  <c r="AV38" i="29"/>
  <c r="AT38" i="29"/>
  <c r="AR38" i="29"/>
  <c r="AP38" i="29"/>
  <c r="AN38" i="29"/>
  <c r="AL38" i="29"/>
  <c r="AJ38" i="29"/>
  <c r="AH38" i="29"/>
  <c r="AF38" i="29"/>
  <c r="AD38" i="29"/>
  <c r="AB38" i="29"/>
  <c r="Z38" i="29"/>
  <c r="X38" i="29"/>
  <c r="V38" i="29"/>
  <c r="T38" i="29"/>
  <c r="R38" i="29"/>
  <c r="P38" i="29"/>
  <c r="N38" i="29"/>
  <c r="L38" i="29"/>
  <c r="J38" i="29"/>
  <c r="H38" i="29"/>
  <c r="F38" i="29"/>
  <c r="D38" i="29"/>
  <c r="CX32" i="29"/>
  <c r="CX39" i="29"/>
  <c r="DD38" i="29"/>
  <c r="DD39" i="29"/>
  <c r="DD40" i="29"/>
  <c r="CV38" i="29"/>
  <c r="CV39" i="29"/>
  <c r="CV40" i="29"/>
  <c r="CX40" i="29"/>
  <c r="CY13" i="29"/>
  <c r="CY36" i="29"/>
  <c r="CY29" i="29"/>
  <c r="CY37" i="29"/>
  <c r="CY31" i="29"/>
  <c r="CY25" i="29"/>
  <c r="CY20" i="29"/>
  <c r="CY23" i="29"/>
  <c r="CY32" i="29"/>
  <c r="CZ17" i="29"/>
  <c r="CZ28" i="29"/>
  <c r="CY34" i="29"/>
  <c r="CY15" i="29"/>
  <c r="CY35" i="29"/>
  <c r="CY24" i="29"/>
  <c r="CY14" i="29"/>
  <c r="CY30" i="29"/>
  <c r="CY21" i="29"/>
  <c r="CZ36" i="29"/>
  <c r="B110" i="27"/>
  <c r="B111" i="27"/>
  <c r="B109" i="27"/>
  <c r="B120" i="27"/>
  <c r="B122" i="27"/>
  <c r="B129" i="27"/>
  <c r="B108" i="27"/>
  <c r="B128" i="27"/>
  <c r="B116" i="27"/>
  <c r="B127" i="27"/>
  <c r="B126" i="27"/>
  <c r="B113" i="27"/>
  <c r="B125" i="27"/>
  <c r="B124" i="27"/>
  <c r="B118" i="27"/>
  <c r="B123" i="27"/>
  <c r="B112" i="27"/>
  <c r="B115" i="27"/>
  <c r="B121" i="27"/>
  <c r="B106" i="27"/>
  <c r="J78" i="24"/>
  <c r="L78" i="24" s="1"/>
  <c r="L77" i="24"/>
  <c r="L76" i="24"/>
  <c r="J75" i="24"/>
  <c r="L75" i="24"/>
  <c r="J74" i="24"/>
  <c r="L74" i="24"/>
  <c r="L73" i="24"/>
  <c r="L72" i="24"/>
  <c r="L71" i="24"/>
  <c r="J70" i="24"/>
  <c r="L70" i="24" s="1"/>
  <c r="J69" i="24"/>
  <c r="L69" i="24"/>
  <c r="J68" i="24"/>
  <c r="L68" i="24"/>
  <c r="J67" i="24"/>
  <c r="L67" i="24" s="1"/>
  <c r="J66" i="24"/>
  <c r="L66" i="24"/>
  <c r="L65" i="24"/>
  <c r="L64" i="24"/>
  <c r="L63" i="24"/>
  <c r="L61" i="24"/>
  <c r="L59" i="24"/>
  <c r="L58" i="24"/>
  <c r="L57" i="24"/>
  <c r="L56" i="24"/>
  <c r="L55" i="24"/>
  <c r="AC113" i="44"/>
  <c r="T113" i="44" a="1"/>
  <c r="AF113" i="44"/>
  <c r="X113" i="44"/>
  <c r="W87" i="44"/>
  <c r="AB113" i="44"/>
  <c r="E98" i="27" a="1"/>
  <c r="W113" i="44"/>
  <c r="AE113" i="44"/>
  <c r="X87" i="44"/>
  <c r="BB32" i="43" l="1" a="1"/>
  <c r="BB32" i="43" s="1"/>
  <c r="BB22" i="43" a="1"/>
  <c r="BB22" i="43" s="1"/>
  <c r="BB40" i="43" a="1"/>
  <c r="BB40" i="43" s="1"/>
  <c r="BB28" i="43" a="1"/>
  <c r="BB28" i="43" s="1"/>
  <c r="BB26" i="43" a="1"/>
  <c r="BB26" i="43" s="1"/>
  <c r="BB24" i="43" a="1"/>
  <c r="BB24" i="43" s="1"/>
  <c r="BB42" i="43" a="1"/>
  <c r="BB42" i="43" s="1"/>
  <c r="BB21" i="43" a="1"/>
  <c r="BB21" i="43" s="1"/>
  <c r="BB20" i="43" a="1"/>
  <c r="BB20" i="43" s="1"/>
  <c r="BB18" i="43" a="1"/>
  <c r="BB18" i="43" s="1"/>
  <c r="BB16" i="43" a="1"/>
  <c r="BB16" i="43" s="1"/>
  <c r="BB33" i="43" a="1"/>
  <c r="BB33" i="43" s="1"/>
  <c r="BB41" i="43" a="1"/>
  <c r="BB41" i="43" s="1"/>
  <c r="BB31" i="43" a="1"/>
  <c r="BB31" i="43" s="1"/>
  <c r="BB30" i="43" a="1"/>
  <c r="BB30" i="43" s="1"/>
  <c r="BB37" i="43" a="1"/>
  <c r="BB37" i="43" s="1"/>
  <c r="BB15" i="43" a="1"/>
  <c r="BB15" i="43" s="1"/>
  <c r="BB23" i="43" a="1"/>
  <c r="BB23" i="43" s="1"/>
  <c r="BB39" i="43" a="1"/>
  <c r="BB39" i="43" s="1"/>
  <c r="BB29" i="43" a="1"/>
  <c r="BB29" i="43" s="1"/>
  <c r="BB19" i="43" a="1"/>
  <c r="BB19" i="43" s="1"/>
  <c r="BB38" i="43" a="1"/>
  <c r="BB38" i="43" s="1"/>
  <c r="BB27" i="43" a="1"/>
  <c r="BB27" i="43" s="1"/>
  <c r="BB36" i="43" a="1"/>
  <c r="BB36" i="43" s="1"/>
  <c r="BB35" i="43" a="1"/>
  <c r="BB35" i="43" s="1"/>
  <c r="BB34" i="43" a="1"/>
  <c r="BB34" i="43" s="1"/>
  <c r="BB17" i="43" a="1"/>
  <c r="BB17" i="43" s="1"/>
  <c r="BB25" i="43" a="1"/>
  <c r="BB25" i="43" s="1"/>
  <c r="BB14" i="43" a="1"/>
  <c r="BB14" i="43" s="1"/>
  <c r="BB13" i="43" a="1"/>
  <c r="BB13" i="43" s="1"/>
  <c r="AZ32" i="43" a="1"/>
  <c r="AZ32" i="43" s="1"/>
  <c r="AZ30" i="43" a="1"/>
  <c r="AZ30" i="43" s="1"/>
  <c r="AZ18" i="43" a="1"/>
  <c r="AZ18" i="43" s="1"/>
  <c r="AZ26" i="43" a="1"/>
  <c r="AZ26" i="43" s="1"/>
  <c r="AZ24" i="43" a="1"/>
  <c r="AZ24" i="43" s="1"/>
  <c r="AZ42" i="43" a="1"/>
  <c r="AZ42" i="43" s="1"/>
  <c r="AZ22" i="43" a="1"/>
  <c r="AZ22" i="43" s="1"/>
  <c r="AZ40" i="43" a="1"/>
  <c r="AZ40" i="43" s="1"/>
  <c r="AZ39" i="43" a="1"/>
  <c r="AZ39" i="43" s="1"/>
  <c r="AZ38" i="43" a="1"/>
  <c r="AZ38" i="43" s="1"/>
  <c r="AZ37" i="43" a="1"/>
  <c r="AZ37" i="43" s="1"/>
  <c r="AZ36" i="43" a="1"/>
  <c r="AZ36" i="43" s="1"/>
  <c r="AZ35" i="43" a="1"/>
  <c r="AZ35" i="43" s="1"/>
  <c r="AZ34" i="43" a="1"/>
  <c r="AZ34" i="43" s="1"/>
  <c r="AZ33" i="43" a="1"/>
  <c r="AZ33" i="43" s="1"/>
  <c r="AZ31" i="43" a="1"/>
  <c r="AZ31" i="43" s="1"/>
  <c r="AZ20" i="43" a="1"/>
  <c r="AZ20" i="43" s="1"/>
  <c r="AZ28" i="43" a="1"/>
  <c r="AZ28" i="43" s="1"/>
  <c r="AZ16" i="43" a="1"/>
  <c r="AZ16" i="43" s="1"/>
  <c r="AZ14" i="43" a="1"/>
  <c r="AZ14" i="43" s="1"/>
  <c r="AZ41" i="43" a="1"/>
  <c r="AZ41" i="43" s="1"/>
  <c r="AZ21" i="43" a="1"/>
  <c r="AZ21" i="43" s="1"/>
  <c r="AZ19" i="43" a="1"/>
  <c r="AZ19" i="43" s="1"/>
  <c r="AZ27" i="43" a="1"/>
  <c r="AZ27" i="43" s="1"/>
  <c r="AZ25" i="43" a="1"/>
  <c r="AZ25" i="43" s="1"/>
  <c r="AZ23" i="43" a="1"/>
  <c r="AZ23" i="43" s="1"/>
  <c r="AZ29" i="43" a="1"/>
  <c r="AZ29" i="43" s="1"/>
  <c r="AZ17" i="43" a="1"/>
  <c r="AZ17" i="43" s="1"/>
  <c r="AZ15" i="43" a="1"/>
  <c r="AZ15" i="43" s="1"/>
  <c r="AZ13" i="43" a="1"/>
  <c r="AZ13" i="43" s="1"/>
  <c r="AW35" i="40" a="1"/>
  <c r="AW35" i="40" s="1"/>
  <c r="AW25" i="40" a="1"/>
  <c r="AW25" i="40" s="1"/>
  <c r="AW24" i="40" a="1"/>
  <c r="AW24" i="40" s="1"/>
  <c r="AW23" i="40" a="1"/>
  <c r="AW23" i="40" s="1"/>
  <c r="AW28" i="40" a="1"/>
  <c r="AW28" i="40" s="1"/>
  <c r="AW26" i="40" a="1"/>
  <c r="AW26" i="40" s="1"/>
  <c r="AW45" i="40" a="1"/>
  <c r="AW45" i="40" s="1"/>
  <c r="AW34" i="40" a="1"/>
  <c r="AW34" i="40" s="1"/>
  <c r="AW43" i="40" a="1"/>
  <c r="AW43" i="40" s="1"/>
  <c r="AW29" i="40" a="1"/>
  <c r="AW29" i="40" s="1"/>
  <c r="AW36" i="40" a="1"/>
  <c r="AW36" i="40" s="1"/>
  <c r="AW44" i="40" a="1"/>
  <c r="AW44" i="40" s="1"/>
  <c r="AW33" i="40" a="1"/>
  <c r="AW33" i="40" s="1"/>
  <c r="AW19" i="40" a="1"/>
  <c r="AW19" i="40" s="1"/>
  <c r="AW17" i="40" a="1"/>
  <c r="AW17" i="40" s="1"/>
  <c r="AW42" i="40" a="1"/>
  <c r="AW42" i="40" s="1"/>
  <c r="AW22" i="40" a="1"/>
  <c r="AW22" i="40" s="1"/>
  <c r="AW41" i="40" a="1"/>
  <c r="AW41" i="40" s="1"/>
  <c r="AW21" i="40" a="1"/>
  <c r="AW21" i="40" s="1"/>
  <c r="AW30" i="40" a="1"/>
  <c r="AW30" i="40" s="1"/>
  <c r="AW39" i="40" a="1"/>
  <c r="AW39" i="40" s="1"/>
  <c r="AW18" i="40" a="1"/>
  <c r="AW18" i="40" s="1"/>
  <c r="AW27" i="40" a="1"/>
  <c r="AW27" i="40" s="1"/>
  <c r="AW32" i="40" a="1"/>
  <c r="AW32" i="40" s="1"/>
  <c r="AW31" i="40" a="1"/>
  <c r="AW31" i="40" s="1"/>
  <c r="AW40" i="40" a="1"/>
  <c r="AW40" i="40" s="1"/>
  <c r="AW20" i="40" a="1"/>
  <c r="AW20" i="40" s="1"/>
  <c r="AW38" i="40" a="1"/>
  <c r="AW38" i="40" s="1"/>
  <c r="AW37" i="40" a="1"/>
  <c r="AW37" i="40" s="1"/>
  <c r="AW16" i="40" a="1"/>
  <c r="AW16" i="40" s="1"/>
  <c r="AU35" i="40" a="1"/>
  <c r="AU35" i="40" s="1"/>
  <c r="AU25" i="40" a="1"/>
  <c r="AU25" i="40" s="1"/>
  <c r="AU24" i="40" a="1"/>
  <c r="AU24" i="40" s="1"/>
  <c r="AU23" i="40" a="1"/>
  <c r="AU23" i="40" s="1"/>
  <c r="AU20" i="40" a="1"/>
  <c r="AU20" i="40" s="1"/>
  <c r="AU18" i="40" a="1"/>
  <c r="AU18" i="40" s="1"/>
  <c r="AU26" i="40" a="1"/>
  <c r="AU26" i="40" s="1"/>
  <c r="AU45" i="40" a="1"/>
  <c r="AU45" i="40" s="1"/>
  <c r="AU34" i="40" a="1"/>
  <c r="AU34" i="40" s="1"/>
  <c r="AU43" i="40" a="1"/>
  <c r="AU43" i="40" s="1"/>
  <c r="AU40" i="40" a="1"/>
  <c r="AU40" i="40" s="1"/>
  <c r="AU19" i="40" a="1"/>
  <c r="AU19" i="40" s="1"/>
  <c r="AU27" i="40" a="1"/>
  <c r="AU27" i="40" s="1"/>
  <c r="AU44" i="40" a="1"/>
  <c r="AU44" i="40" s="1"/>
  <c r="AU33" i="40" a="1"/>
  <c r="AU33" i="40" s="1"/>
  <c r="AU39" i="40" a="1"/>
  <c r="AU39" i="40" s="1"/>
  <c r="AU28" i="40" a="1"/>
  <c r="AU28" i="40" s="1"/>
  <c r="AU17" i="40" a="1"/>
  <c r="AU17" i="40" s="1"/>
  <c r="AU42" i="40" a="1"/>
  <c r="AU42" i="40" s="1"/>
  <c r="AU32" i="40" a="1"/>
  <c r="AU32" i="40" s="1"/>
  <c r="AU22" i="40" a="1"/>
  <c r="AU22" i="40" s="1"/>
  <c r="AU41" i="40" a="1"/>
  <c r="AU41" i="40" s="1"/>
  <c r="AU31" i="40" a="1"/>
  <c r="AU31" i="40" s="1"/>
  <c r="AU21" i="40" a="1"/>
  <c r="AU21" i="40" s="1"/>
  <c r="AU30" i="40" a="1"/>
  <c r="AU30" i="40" s="1"/>
  <c r="AU29" i="40" a="1"/>
  <c r="AU29" i="40" s="1"/>
  <c r="AU38" i="40" a="1"/>
  <c r="AU38" i="40" s="1"/>
  <c r="AU37" i="40" a="1"/>
  <c r="AU37" i="40" s="1"/>
  <c r="AU36" i="40" a="1"/>
  <c r="AU36" i="40" s="1"/>
  <c r="AU16" i="40" a="1"/>
  <c r="AU16" i="40" s="1"/>
  <c r="AH31" i="41" a="1"/>
  <c r="AH31" i="41" s="1"/>
  <c r="AH21" i="41" a="1"/>
  <c r="AH21" i="41" s="1"/>
  <c r="AH29" i="41" a="1"/>
  <c r="AH29" i="41" s="1"/>
  <c r="AH37" i="41" a="1"/>
  <c r="AH37" i="41" s="1"/>
  <c r="AH26" i="41" a="1"/>
  <c r="AH26" i="41" s="1"/>
  <c r="AH15" i="41" a="1"/>
  <c r="AH15" i="41" s="1"/>
  <c r="AH33" i="41" a="1"/>
  <c r="AH33" i="41" s="1"/>
  <c r="AH41" i="41" a="1"/>
  <c r="AH41" i="41" s="1"/>
  <c r="AH19" i="41" a="1"/>
  <c r="AH19" i="41" s="1"/>
  <c r="AH30" i="41" a="1"/>
  <c r="AH30" i="41" s="1"/>
  <c r="AH20" i="41" a="1"/>
  <c r="AH20" i="41" s="1"/>
  <c r="AH16" i="41" a="1"/>
  <c r="AH16" i="41" s="1"/>
  <c r="AH24" i="41" a="1"/>
  <c r="AH24" i="41" s="1"/>
  <c r="AH22" i="41" a="1"/>
  <c r="AH22" i="41" s="1"/>
  <c r="AH40" i="41" a="1"/>
  <c r="AH40" i="41" s="1"/>
  <c r="AH39" i="41" a="1"/>
  <c r="AH39" i="41" s="1"/>
  <c r="AH17" i="41" a="1"/>
  <c r="AH17" i="41" s="1"/>
  <c r="AH25" i="41" a="1"/>
  <c r="AH25" i="41" s="1"/>
  <c r="AH23" i="41" a="1"/>
  <c r="AH23" i="41" s="1"/>
  <c r="AH38" i="41" a="1"/>
  <c r="AH38" i="41" s="1"/>
  <c r="AH18" i="41" a="1"/>
  <c r="AH18" i="41" s="1"/>
  <c r="AH27" i="41" a="1"/>
  <c r="AH27" i="41" s="1"/>
  <c r="AH35" i="41" a="1"/>
  <c r="AH35" i="41" s="1"/>
  <c r="AH14" i="41" a="1"/>
  <c r="AH14" i="41" s="1"/>
  <c r="AH13" i="41" a="1"/>
  <c r="AH13" i="41" s="1"/>
  <c r="AH28" i="41" a="1"/>
  <c r="AH28" i="41" s="1"/>
  <c r="AH36" i="41" a="1"/>
  <c r="AH36" i="41" s="1"/>
  <c r="AH34" i="41" a="1"/>
  <c r="AH34" i="41" s="1"/>
  <c r="AH32" i="41" a="1"/>
  <c r="AH32" i="41" s="1"/>
  <c r="AH12" i="41" a="1"/>
  <c r="AH12" i="41" s="1"/>
  <c r="AF31" i="41" a="1"/>
  <c r="AF31" i="41" s="1"/>
  <c r="AF40" i="41" a="1"/>
  <c r="AF40" i="41" s="1"/>
  <c r="AF39" i="41" a="1"/>
  <c r="AF39" i="41" s="1"/>
  <c r="AF19" i="41" a="1"/>
  <c r="AF19" i="41" s="1"/>
  <c r="AF22" i="41" a="1"/>
  <c r="AF22" i="41" s="1"/>
  <c r="AF41" i="41" a="1"/>
  <c r="AF41" i="41" s="1"/>
  <c r="AF21" i="41" a="1"/>
  <c r="AF21" i="41" s="1"/>
  <c r="AF30" i="41" a="1"/>
  <c r="AF30" i="41" s="1"/>
  <c r="AF20" i="41" a="1"/>
  <c r="AF20" i="41" s="1"/>
  <c r="AF29" i="41" a="1"/>
  <c r="AF29" i="41" s="1"/>
  <c r="AF24" i="41" a="1"/>
  <c r="AF24" i="41" s="1"/>
  <c r="AF13" i="41" a="1"/>
  <c r="AF13" i="41" s="1"/>
  <c r="AF23" i="41" a="1"/>
  <c r="AF23" i="41" s="1"/>
  <c r="AF38" i="41" a="1"/>
  <c r="AF38" i="41" s="1"/>
  <c r="AF28" i="41" a="1"/>
  <c r="AF28" i="41" s="1"/>
  <c r="AF18" i="41" a="1"/>
  <c r="AF18" i="41" s="1"/>
  <c r="AF37" i="41" a="1"/>
  <c r="AF37" i="41" s="1"/>
  <c r="AF27" i="41" a="1"/>
  <c r="AF27" i="41" s="1"/>
  <c r="AF17" i="41" a="1"/>
  <c r="AF17" i="41" s="1"/>
  <c r="AF36" i="41" a="1"/>
  <c r="AF36" i="41" s="1"/>
  <c r="AF26" i="41" a="1"/>
  <c r="AF26" i="41" s="1"/>
  <c r="AF16" i="41" a="1"/>
  <c r="AF16" i="41" s="1"/>
  <c r="AF35" i="41" a="1"/>
  <c r="AF35" i="41" s="1"/>
  <c r="AF25" i="41" a="1"/>
  <c r="AF25" i="41" s="1"/>
  <c r="AF15" i="41" a="1"/>
  <c r="AF15" i="41" s="1"/>
  <c r="AF34" i="41" a="1"/>
  <c r="AF34" i="41" s="1"/>
  <c r="AF14" i="41" a="1"/>
  <c r="AF14" i="41" s="1"/>
  <c r="AF33" i="41" a="1"/>
  <c r="AF33" i="41" s="1"/>
  <c r="AF32" i="41" a="1"/>
  <c r="AF32" i="41" s="1"/>
  <c r="AF12" i="41" a="1"/>
  <c r="AF12" i="41" s="1"/>
  <c r="BF32" i="42" a="1"/>
  <c r="BF32" i="42" s="1"/>
  <c r="BF22" i="42" a="1"/>
  <c r="BF22" i="42" s="1"/>
  <c r="BF40" i="42" a="1"/>
  <c r="BF40" i="42" s="1"/>
  <c r="BF38" i="42" a="1"/>
  <c r="BF38" i="42" s="1"/>
  <c r="BF17" i="42" a="1"/>
  <c r="BF17" i="42" s="1"/>
  <c r="BF15" i="42" a="1"/>
  <c r="BF15" i="42" s="1"/>
  <c r="BF23" i="42" a="1"/>
  <c r="BF23" i="42" s="1"/>
  <c r="BF42" i="42" a="1"/>
  <c r="BF42" i="42" s="1"/>
  <c r="BF21" i="42" a="1"/>
  <c r="BF21" i="42" s="1"/>
  <c r="BF20" i="42" a="1"/>
  <c r="BF20" i="42" s="1"/>
  <c r="BF18" i="42" a="1"/>
  <c r="BF18" i="42" s="1"/>
  <c r="BF36" i="42" a="1"/>
  <c r="BF36" i="42" s="1"/>
  <c r="BF34" i="42" a="1"/>
  <c r="BF34" i="42" s="1"/>
  <c r="BF41" i="42" a="1"/>
  <c r="BF41" i="42" s="1"/>
  <c r="BF31" i="42" a="1"/>
  <c r="BF31" i="42" s="1"/>
  <c r="BF30" i="42" a="1"/>
  <c r="BF30" i="42" s="1"/>
  <c r="BF28" i="42" a="1"/>
  <c r="BF28" i="42" s="1"/>
  <c r="BF26" i="42" a="1"/>
  <c r="BF26" i="42" s="1"/>
  <c r="BF24" i="42" a="1"/>
  <c r="BF24" i="42" s="1"/>
  <c r="BF39" i="42" a="1"/>
  <c r="BF39" i="42" s="1"/>
  <c r="BF29" i="42" a="1"/>
  <c r="BF29" i="42" s="1"/>
  <c r="BF19" i="42" a="1"/>
  <c r="BF19" i="42" s="1"/>
  <c r="BF37" i="42" a="1"/>
  <c r="BF37" i="42" s="1"/>
  <c r="BF27" i="42" a="1"/>
  <c r="BF27" i="42" s="1"/>
  <c r="BF35" i="42" a="1"/>
  <c r="BF35" i="42" s="1"/>
  <c r="BF25" i="42" a="1"/>
  <c r="BF25" i="42" s="1"/>
  <c r="BF14" i="42" a="1"/>
  <c r="BF14" i="42" s="1"/>
  <c r="BF16" i="42" a="1"/>
  <c r="BF16" i="42" s="1"/>
  <c r="BF33" i="42" a="1"/>
  <c r="BF33" i="42" s="1"/>
  <c r="BF13" i="42" a="1"/>
  <c r="BF13" i="42" s="1"/>
  <c r="E143" i="45"/>
  <c r="M53" i="45"/>
  <c r="AN19" i="40"/>
  <c r="M56" i="45"/>
  <c r="E146" i="45"/>
  <c r="AN42" i="40"/>
  <c r="AN36" i="40"/>
  <c r="AN26" i="40"/>
  <c r="AN45" i="40"/>
  <c r="M55" i="45"/>
  <c r="E145" i="45"/>
  <c r="AB38" i="40"/>
  <c r="AB37" i="40"/>
  <c r="M54" i="45"/>
  <c r="E144" i="45"/>
  <c r="E140" i="45"/>
  <c r="M50" i="45"/>
  <c r="P29" i="40"/>
  <c r="P34" i="40"/>
  <c r="P21" i="40"/>
  <c r="P36" i="40"/>
  <c r="P22" i="40"/>
  <c r="E141" i="45"/>
  <c r="M51" i="45"/>
  <c r="AC41" i="42"/>
  <c r="AC26" i="42"/>
  <c r="E98" i="27"/>
  <c r="T113" i="44"/>
  <c r="E90" i="45"/>
  <c r="F52" i="45"/>
  <c r="E142" i="45"/>
  <c r="M52" i="45"/>
  <c r="Y30" i="41"/>
  <c r="D52" i="29"/>
  <c r="C50" i="29" s="1"/>
  <c r="K93" i="27"/>
  <c r="B93" i="27" s="1"/>
  <c r="D60" i="29"/>
  <c r="C57" i="29" s="1"/>
  <c r="P41" i="40"/>
  <c r="AN24" i="40"/>
  <c r="P32" i="40"/>
  <c r="AN35" i="40"/>
  <c r="P17" i="40"/>
  <c r="AN32" i="40"/>
  <c r="AN17" i="40"/>
  <c r="AN25" i="40"/>
  <c r="P27" i="40"/>
  <c r="AC19" i="42"/>
  <c r="AC37" i="42"/>
  <c r="AC22" i="42"/>
  <c r="AC21" i="42"/>
  <c r="BD21" i="42" s="1" a="1"/>
  <c r="BD21" i="42" s="1"/>
  <c r="Z44" i="41"/>
  <c r="Z43" i="41"/>
  <c r="AA18" i="41"/>
  <c r="AA12" i="41"/>
  <c r="AA33" i="41"/>
  <c r="AA19" i="41"/>
  <c r="AA35" i="41"/>
  <c r="AA15" i="41"/>
  <c r="AA29" i="41"/>
  <c r="AA17" i="41"/>
  <c r="AN37" i="40"/>
  <c r="AN38" i="40"/>
  <c r="AN39" i="40"/>
  <c r="BD33" i="42" a="1"/>
  <c r="BD33" i="42" s="1"/>
  <c r="AW26" i="43"/>
  <c r="Y13" i="41"/>
  <c r="BW42" i="39"/>
  <c r="AW24" i="43"/>
  <c r="AA13" i="41"/>
  <c r="AK21" i="39"/>
  <c r="AK23" i="39"/>
  <c r="AK39" i="39"/>
  <c r="AK30" i="39"/>
  <c r="AK26" i="39"/>
  <c r="AK17" i="39"/>
  <c r="AE39" i="40"/>
  <c r="AE45" i="40"/>
  <c r="AE40" i="40"/>
  <c r="AE41" i="40"/>
  <c r="AE35" i="40"/>
  <c r="AE30" i="40"/>
  <c r="AE25" i="40"/>
  <c r="AE17" i="40"/>
  <c r="AE20" i="40"/>
  <c r="AE33" i="40"/>
  <c r="AE23" i="40"/>
  <c r="AE28" i="40"/>
  <c r="AE42" i="40"/>
  <c r="AE26" i="40"/>
  <c r="AE19" i="40"/>
  <c r="AE37" i="40"/>
  <c r="AE22" i="40"/>
  <c r="AE29" i="40"/>
  <c r="AE18" i="40"/>
  <c r="AE21" i="40"/>
  <c r="AE43" i="40"/>
  <c r="AE27" i="40"/>
  <c r="AE16" i="40"/>
  <c r="AE34" i="40"/>
  <c r="AE44" i="40"/>
  <c r="AE38" i="40"/>
  <c r="AE32" i="40"/>
  <c r="AE24" i="40"/>
  <c r="AE31" i="40"/>
  <c r="AE36" i="40"/>
  <c r="AY23" i="43"/>
  <c r="AG32" i="43"/>
  <c r="W40" i="43"/>
  <c r="AW18" i="43"/>
  <c r="W33" i="43"/>
  <c r="AW25" i="43"/>
  <c r="BW17" i="39"/>
  <c r="AG14" i="43"/>
  <c r="AG29" i="43"/>
  <c r="AB36" i="41"/>
  <c r="AB38" i="41"/>
  <c r="AB41" i="41"/>
  <c r="Y36" i="41"/>
  <c r="AB39" i="41"/>
  <c r="AB40" i="41"/>
  <c r="AB37" i="41"/>
  <c r="BW25" i="39"/>
  <c r="AW29" i="43"/>
  <c r="W15" i="43"/>
  <c r="AC14" i="42"/>
  <c r="AK15" i="39"/>
  <c r="Y14" i="41"/>
  <c r="BW36" i="39"/>
  <c r="AC38" i="42"/>
  <c r="AC33" i="42"/>
  <c r="AA16" i="41"/>
  <c r="AH43" i="40"/>
  <c r="AH44" i="40"/>
  <c r="AH37" i="40"/>
  <c r="AH33" i="40"/>
  <c r="AH29" i="40"/>
  <c r="AH25" i="40"/>
  <c r="AH21" i="40"/>
  <c r="AH35" i="40"/>
  <c r="AH30" i="40"/>
  <c r="AH17" i="40"/>
  <c r="AH20" i="40"/>
  <c r="AH23" i="40"/>
  <c r="AH38" i="40"/>
  <c r="AH18" i="40"/>
  <c r="AH22" i="40"/>
  <c r="AH41" i="40"/>
  <c r="AH36" i="40"/>
  <c r="AH40" i="40"/>
  <c r="AH32" i="40"/>
  <c r="AH28" i="40"/>
  <c r="AH27" i="40"/>
  <c r="AH16" i="40"/>
  <c r="AH26" i="40"/>
  <c r="AH45" i="40"/>
  <c r="AH19" i="40"/>
  <c r="AH24" i="40"/>
  <c r="AH39" i="40"/>
  <c r="AH34" i="40"/>
  <c r="AH42" i="40"/>
  <c r="AH31" i="40"/>
  <c r="AE23" i="42"/>
  <c r="S41" i="40"/>
  <c r="S42" i="40"/>
  <c r="S35" i="40"/>
  <c r="S31" i="40"/>
  <c r="S27" i="40"/>
  <c r="S23" i="40"/>
  <c r="S34" i="40"/>
  <c r="S29" i="40"/>
  <c r="S24" i="40"/>
  <c r="S16" i="40"/>
  <c r="S19" i="40"/>
  <c r="S39" i="40"/>
  <c r="S32" i="40"/>
  <c r="S37" i="40"/>
  <c r="S44" i="40"/>
  <c r="S20" i="40"/>
  <c r="S38" i="40"/>
  <c r="S26" i="40"/>
  <c r="S22" i="40"/>
  <c r="S21" i="40"/>
  <c r="S43" i="40"/>
  <c r="S40" i="40"/>
  <c r="S33" i="40"/>
  <c r="S28" i="40"/>
  <c r="S30" i="40"/>
  <c r="S36" i="40"/>
  <c r="S45" i="40"/>
  <c r="S25" i="40"/>
  <c r="S17" i="40"/>
  <c r="S18" i="40"/>
  <c r="Y22" i="41"/>
  <c r="AA28" i="41"/>
  <c r="AQ26" i="42"/>
  <c r="BC21" i="42"/>
  <c r="AB34" i="41"/>
  <c r="AB33" i="41"/>
  <c r="AB35" i="41"/>
  <c r="Y33" i="41"/>
  <c r="BW32" i="39"/>
  <c r="AE28" i="42"/>
  <c r="AO20" i="42"/>
  <c r="AC27" i="42"/>
  <c r="AO22" i="42"/>
  <c r="AA24" i="41"/>
  <c r="V45" i="40"/>
  <c r="V38" i="40"/>
  <c r="V34" i="40"/>
  <c r="V30" i="40"/>
  <c r="V26" i="40"/>
  <c r="V22" i="40"/>
  <c r="V18" i="40"/>
  <c r="V44" i="40"/>
  <c r="V39" i="40"/>
  <c r="V29" i="40"/>
  <c r="V24" i="40"/>
  <c r="V16" i="40"/>
  <c r="V19" i="40"/>
  <c r="V32" i="40"/>
  <c r="V27" i="40"/>
  <c r="V41" i="40"/>
  <c r="V23" i="40"/>
  <c r="V43" i="40"/>
  <c r="V42" i="40"/>
  <c r="V33" i="40"/>
  <c r="V31" i="40"/>
  <c r="V21" i="40"/>
  <c r="V20" i="40"/>
  <c r="V37" i="40"/>
  <c r="V28" i="40"/>
  <c r="V17" i="40"/>
  <c r="V35" i="40"/>
  <c r="V36" i="40"/>
  <c r="V40" i="40"/>
  <c r="V25" i="40"/>
  <c r="AY25" i="43"/>
  <c r="AK24" i="39"/>
  <c r="Y19" i="41"/>
  <c r="BW15" i="39"/>
  <c r="AE26" i="42"/>
  <c r="AA40" i="41"/>
  <c r="W34" i="43"/>
  <c r="U33" i="43"/>
  <c r="AO18" i="42"/>
  <c r="AG39" i="43"/>
  <c r="W17" i="43"/>
  <c r="AQ17" i="42"/>
  <c r="AQ41" i="42"/>
  <c r="AW40" i="43"/>
  <c r="AO27" i="42"/>
  <c r="AA23" i="41"/>
  <c r="AA34" i="41"/>
  <c r="AG30" i="43"/>
  <c r="AN20" i="40"/>
  <c r="P33" i="40"/>
  <c r="AK20" i="39"/>
  <c r="AY13" i="43"/>
  <c r="Y35" i="41"/>
  <c r="BZ15" i="39"/>
  <c r="BW35" i="39"/>
  <c r="Y37" i="41"/>
  <c r="AK18" i="39"/>
  <c r="AK34" i="39"/>
  <c r="Y39" i="41"/>
  <c r="BW21" i="39"/>
  <c r="AW22" i="43"/>
  <c r="AW17" i="43"/>
  <c r="BW37" i="39"/>
  <c r="AO15" i="42"/>
  <c r="W39" i="43"/>
  <c r="W13" i="43"/>
  <c r="W25" i="43"/>
  <c r="AA30" i="41"/>
  <c r="AG35" i="43"/>
  <c r="DE39" i="39"/>
  <c r="DE29" i="39"/>
  <c r="DE19" i="39"/>
  <c r="DE36" i="39"/>
  <c r="DE22" i="39"/>
  <c r="DE16" i="39"/>
  <c r="DE14" i="39"/>
  <c r="DE32" i="39"/>
  <c r="DE42" i="39"/>
  <c r="DE27" i="39"/>
  <c r="DE17" i="39"/>
  <c r="DE41" i="39"/>
  <c r="DE21" i="39"/>
  <c r="DE34" i="39"/>
  <c r="DE24" i="39"/>
  <c r="DE18" i="39"/>
  <c r="DE20" i="39"/>
  <c r="DE23" i="39"/>
  <c r="DE15" i="39"/>
  <c r="DE28" i="39"/>
  <c r="DE40" i="39"/>
  <c r="DE35" i="39"/>
  <c r="DE31" i="39"/>
  <c r="DE38" i="39"/>
  <c r="DE13" i="39"/>
  <c r="DE6" i="39" s="1"/>
  <c r="DE26" i="39"/>
  <c r="DE30" i="39"/>
  <c r="DE25" i="39"/>
  <c r="DE33" i="39"/>
  <c r="DE37" i="39"/>
  <c r="AK14" i="39"/>
  <c r="Y27" i="41"/>
  <c r="AG22" i="43"/>
  <c r="AE13" i="42"/>
  <c r="AE37" i="42"/>
  <c r="AO19" i="42"/>
  <c r="AA21" i="41"/>
  <c r="AY22" i="43"/>
  <c r="G40" i="40"/>
  <c r="G45" i="40"/>
  <c r="G36" i="40"/>
  <c r="G32" i="40"/>
  <c r="G28" i="40"/>
  <c r="G24" i="40"/>
  <c r="G20" i="40"/>
  <c r="G16" i="40"/>
  <c r="G43" i="40"/>
  <c r="G23" i="40"/>
  <c r="G38" i="40"/>
  <c r="G33" i="40"/>
  <c r="G18" i="40"/>
  <c r="G26" i="40"/>
  <c r="G21" i="40"/>
  <c r="G25" i="40"/>
  <c r="G35" i="40"/>
  <c r="G39" i="40"/>
  <c r="G34" i="40"/>
  <c r="G31" i="40"/>
  <c r="G27" i="40"/>
  <c r="G17" i="40"/>
  <c r="G37" i="40"/>
  <c r="G30" i="40"/>
  <c r="G29" i="40"/>
  <c r="G42" i="40"/>
  <c r="G22" i="40"/>
  <c r="G19" i="40"/>
  <c r="G41" i="40"/>
  <c r="G44" i="40"/>
  <c r="AK25" i="39"/>
  <c r="Y31" i="41"/>
  <c r="BW40" i="39"/>
  <c r="AO36" i="42"/>
  <c r="AC39" i="42"/>
  <c r="BD39" i="42" s="1" a="1"/>
  <c r="BD39" i="42" s="1"/>
  <c r="AQ37" i="42"/>
  <c r="AW37" i="43"/>
  <c r="AA36" i="41"/>
  <c r="AW30" i="43"/>
  <c r="AK28" i="39"/>
  <c r="BZ13" i="39"/>
  <c r="BZ6" i="39" s="1"/>
  <c r="BZ3" i="39" s="1"/>
  <c r="AW39" i="43"/>
  <c r="J44" i="40"/>
  <c r="J40" i="40"/>
  <c r="J43" i="40"/>
  <c r="J41" i="40"/>
  <c r="J38" i="40"/>
  <c r="J33" i="40"/>
  <c r="J28" i="40"/>
  <c r="J18" i="40"/>
  <c r="J26" i="40"/>
  <c r="J42" i="40"/>
  <c r="J31" i="40"/>
  <c r="J45" i="40"/>
  <c r="J36" i="40"/>
  <c r="J34" i="40"/>
  <c r="J35" i="40"/>
  <c r="J24" i="40"/>
  <c r="J39" i="40"/>
  <c r="J20" i="40"/>
  <c r="J25" i="40"/>
  <c r="J23" i="40"/>
  <c r="J22" i="40"/>
  <c r="J21" i="40"/>
  <c r="J32" i="40"/>
  <c r="J37" i="40"/>
  <c r="J27" i="40"/>
  <c r="J30" i="40"/>
  <c r="J29" i="40"/>
  <c r="J16" i="40"/>
  <c r="J19" i="40"/>
  <c r="J17" i="40"/>
  <c r="Y17" i="41"/>
  <c r="AK35" i="39"/>
  <c r="BC22" i="42"/>
  <c r="W16" i="43"/>
  <c r="P40" i="40"/>
  <c r="AK13" i="39"/>
  <c r="AK6" i="39" s="1"/>
  <c r="AK3" i="39" s="1"/>
  <c r="AA37" i="41"/>
  <c r="BC16" i="42"/>
  <c r="AQ42" i="42"/>
  <c r="AO24" i="42"/>
  <c r="AG18" i="43"/>
  <c r="P44" i="40"/>
  <c r="AQ21" i="42"/>
  <c r="W36" i="43"/>
  <c r="Y5" i="39"/>
  <c r="BZ32" i="39"/>
  <c r="DI5" i="39"/>
  <c r="BC24" i="42"/>
  <c r="U35" i="43"/>
  <c r="AW28" i="43"/>
  <c r="AG16" i="43"/>
  <c r="U30" i="43"/>
  <c r="W42" i="43"/>
  <c r="AW31" i="43"/>
  <c r="AQ36" i="42"/>
  <c r="W38" i="43"/>
  <c r="AO16" i="42"/>
  <c r="AC40" i="42"/>
  <c r="W26" i="43"/>
  <c r="W32" i="43"/>
  <c r="AA22" i="41"/>
  <c r="AA38" i="41"/>
  <c r="AT42" i="40"/>
  <c r="AT31" i="40"/>
  <c r="AT18" i="40"/>
  <c r="AT26" i="40"/>
  <c r="AT36" i="40"/>
  <c r="AT21" i="40"/>
  <c r="AT40" i="40"/>
  <c r="AT24" i="40"/>
  <c r="AT19" i="40"/>
  <c r="AT16" i="40"/>
  <c r="AT32" i="40"/>
  <c r="AT35" i="40"/>
  <c r="AT39" i="40"/>
  <c r="AT45" i="40"/>
  <c r="AT28" i="40"/>
  <c r="AT34" i="40"/>
  <c r="AT27" i="40"/>
  <c r="AT44" i="40"/>
  <c r="AT25" i="40"/>
  <c r="AT33" i="40"/>
  <c r="AT22" i="40"/>
  <c r="AT23" i="40"/>
  <c r="AT17" i="40"/>
  <c r="AT41" i="40"/>
  <c r="AT43" i="40"/>
  <c r="AT38" i="40"/>
  <c r="AT30" i="40"/>
  <c r="AT29" i="40"/>
  <c r="AT20" i="40"/>
  <c r="AT37" i="40"/>
  <c r="AG25" i="43"/>
  <c r="Y42" i="40"/>
  <c r="Y43" i="40"/>
  <c r="Y44" i="40"/>
  <c r="Y19" i="40"/>
  <c r="Y32" i="40"/>
  <c r="Y27" i="40"/>
  <c r="Y22" i="40"/>
  <c r="Y39" i="40"/>
  <c r="Y37" i="40"/>
  <c r="Y41" i="40"/>
  <c r="Y35" i="40"/>
  <c r="Y30" i="40"/>
  <c r="Y25" i="40"/>
  <c r="Y17" i="40"/>
  <c r="Y20" i="40"/>
  <c r="Y16" i="40"/>
  <c r="Y26" i="40"/>
  <c r="Y45" i="40"/>
  <c r="Y40" i="40"/>
  <c r="Y38" i="40"/>
  <c r="Y29" i="40"/>
  <c r="Y28" i="40"/>
  <c r="Y18" i="40"/>
  <c r="Y36" i="40"/>
  <c r="Y24" i="40"/>
  <c r="Y31" i="40"/>
  <c r="Y33" i="40"/>
  <c r="Y21" i="40"/>
  <c r="Y23" i="40"/>
  <c r="Y34" i="40"/>
  <c r="CI39" i="39"/>
  <c r="CI35" i="39"/>
  <c r="CI25" i="39"/>
  <c r="CI15" i="39"/>
  <c r="CI31" i="39"/>
  <c r="CI24" i="39"/>
  <c r="CI42" i="39"/>
  <c r="CI19" i="39"/>
  <c r="CI34" i="39"/>
  <c r="CI26" i="39"/>
  <c r="CI40" i="39"/>
  <c r="CI36" i="39"/>
  <c r="CI22" i="39"/>
  <c r="CI33" i="39"/>
  <c r="CI28" i="39"/>
  <c r="CI38" i="39"/>
  <c r="CI13" i="39"/>
  <c r="CI6" i="39" s="1"/>
  <c r="CI3" i="39" s="1"/>
  <c r="CI37" i="39"/>
  <c r="CI29" i="39"/>
  <c r="CI14" i="39"/>
  <c r="CI41" i="39"/>
  <c r="CI32" i="39"/>
  <c r="CI16" i="39"/>
  <c r="CI21" i="39"/>
  <c r="CI20" i="39"/>
  <c r="CI27" i="39"/>
  <c r="CI30" i="39"/>
  <c r="CI18" i="39"/>
  <c r="CI17" i="39"/>
  <c r="CI23" i="39"/>
  <c r="AE36" i="39"/>
  <c r="AE26" i="39"/>
  <c r="AE35" i="39"/>
  <c r="AE25" i="39"/>
  <c r="AE39" i="39"/>
  <c r="AE20" i="39"/>
  <c r="AE40" i="39"/>
  <c r="AE28" i="39"/>
  <c r="AE18" i="39"/>
  <c r="AE19" i="39"/>
  <c r="AE42" i="39"/>
  <c r="AE32" i="39"/>
  <c r="AE37" i="39"/>
  <c r="AE23" i="39"/>
  <c r="AE41" i="39"/>
  <c r="AE27" i="39"/>
  <c r="AE17" i="39"/>
  <c r="AE24" i="39"/>
  <c r="AE16" i="39"/>
  <c r="AE15" i="39"/>
  <c r="AE29" i="39"/>
  <c r="AE14" i="39"/>
  <c r="AE22" i="39"/>
  <c r="AE38" i="39"/>
  <c r="AE21" i="39"/>
  <c r="AE13" i="39"/>
  <c r="AE6" i="39" s="1"/>
  <c r="AE3" i="39" s="1"/>
  <c r="AE30" i="39"/>
  <c r="AE33" i="39"/>
  <c r="AE34" i="39"/>
  <c r="AE31" i="39"/>
  <c r="AC42" i="42"/>
  <c r="AN33" i="40"/>
  <c r="P30" i="40"/>
  <c r="AX34" i="39"/>
  <c r="AX24" i="39"/>
  <c r="AX33" i="39"/>
  <c r="AX23" i="39"/>
  <c r="AX41" i="39"/>
  <c r="AX32" i="39"/>
  <c r="AX25" i="39"/>
  <c r="AX14" i="39"/>
  <c r="AX29" i="39"/>
  <c r="AX31" i="39"/>
  <c r="AX21" i="39"/>
  <c r="AX26" i="39"/>
  <c r="AX40" i="39"/>
  <c r="AX39" i="39"/>
  <c r="AX36" i="39"/>
  <c r="AX18" i="39"/>
  <c r="AX38" i="39"/>
  <c r="AX28" i="39"/>
  <c r="AX37" i="39"/>
  <c r="AX13" i="39"/>
  <c r="AX6" i="39" s="1"/>
  <c r="AX3" i="39" s="1"/>
  <c r="AX30" i="39"/>
  <c r="AX22" i="39"/>
  <c r="AX20" i="39"/>
  <c r="AX16" i="39"/>
  <c r="AX35" i="39"/>
  <c r="AX17" i="39"/>
  <c r="AX19" i="39"/>
  <c r="AX42" i="39"/>
  <c r="AX27" i="39"/>
  <c r="AX15" i="39"/>
  <c r="AK16" i="39"/>
  <c r="Y41" i="41"/>
  <c r="BZ35" i="39"/>
  <c r="BW18" i="39"/>
  <c r="BZ16" i="39"/>
  <c r="AE39" i="42"/>
  <c r="AE25" i="42"/>
  <c r="BZ23" i="39"/>
  <c r="AC30" i="42"/>
  <c r="BD30" i="42" s="1" a="1"/>
  <c r="BD30" i="42" s="1"/>
  <c r="AQ19" i="42"/>
  <c r="AG15" i="43"/>
  <c r="AE14" i="42"/>
  <c r="AY31" i="43"/>
  <c r="AY30" i="43"/>
  <c r="AE41" i="42"/>
  <c r="BD41" i="42" s="1" a="1"/>
  <c r="BD41" i="42" s="1"/>
  <c r="AO17" i="42"/>
  <c r="AG34" i="43"/>
  <c r="AE38" i="42"/>
  <c r="BD38" i="42" s="1" a="1"/>
  <c r="BD38" i="42" s="1"/>
  <c r="AO40" i="42"/>
  <c r="AA39" i="41"/>
  <c r="AA20" i="41"/>
  <c r="AG13" i="43"/>
  <c r="AN23" i="40"/>
  <c r="P42" i="40"/>
  <c r="DB40" i="39"/>
  <c r="DB36" i="39"/>
  <c r="DB26" i="39"/>
  <c r="DB16" i="39"/>
  <c r="DB37" i="39"/>
  <c r="DB21" i="39"/>
  <c r="DB38" i="39"/>
  <c r="DB31" i="39"/>
  <c r="DB24" i="39"/>
  <c r="DB20" i="39"/>
  <c r="DB42" i="39"/>
  <c r="DB27" i="39"/>
  <c r="DB17" i="39"/>
  <c r="DB13" i="39"/>
  <c r="DB6" i="39" s="1"/>
  <c r="DB3" i="39" s="1"/>
  <c r="DB41" i="39"/>
  <c r="DB14" i="39"/>
  <c r="DB34" i="39"/>
  <c r="DB19" i="39"/>
  <c r="DB30" i="39"/>
  <c r="DB18" i="39"/>
  <c r="DB39" i="39"/>
  <c r="DB23" i="39"/>
  <c r="DB15" i="39"/>
  <c r="DB35" i="39"/>
  <c r="DB32" i="39"/>
  <c r="DB25" i="39"/>
  <c r="DB29" i="39"/>
  <c r="DB28" i="39"/>
  <c r="DB22" i="39"/>
  <c r="DB33" i="39"/>
  <c r="AK27" i="39"/>
  <c r="Y16" i="41"/>
  <c r="Y6" i="38"/>
  <c r="Z7" i="38"/>
  <c r="Z6" i="38" s="1"/>
  <c r="BW26" i="39"/>
  <c r="AO29" i="42"/>
  <c r="AE16" i="42"/>
  <c r="AE19" i="42"/>
  <c r="BD19" i="42" s="1" a="1"/>
  <c r="BD19" i="42" s="1"/>
  <c r="AC16" i="42"/>
  <c r="BD16" i="42" s="1" a="1"/>
  <c r="BD16" i="42" s="1"/>
  <c r="BZ26" i="39"/>
  <c r="BZ36" i="39"/>
  <c r="AW36" i="43"/>
  <c r="AO31" i="42"/>
  <c r="BZ40" i="39"/>
  <c r="AY38" i="43"/>
  <c r="BZ28" i="39"/>
  <c r="AW14" i="43"/>
  <c r="AW27" i="43"/>
  <c r="AW32" i="43"/>
  <c r="AW13" i="43"/>
  <c r="AW21" i="43"/>
  <c r="AO39" i="42"/>
  <c r="U42" i="43"/>
  <c r="AQ34" i="42"/>
  <c r="U29" i="43"/>
  <c r="AY33" i="43"/>
  <c r="AE35" i="42"/>
  <c r="AC13" i="42"/>
  <c r="U25" i="43"/>
  <c r="U26" i="43"/>
  <c r="BC36" i="42"/>
  <c r="W28" i="43"/>
  <c r="AO41" i="42"/>
  <c r="AA25" i="41"/>
  <c r="AE33" i="42"/>
  <c r="CC39" i="39"/>
  <c r="CC29" i="39"/>
  <c r="CC19" i="39"/>
  <c r="CC41" i="39"/>
  <c r="CC31" i="39"/>
  <c r="CC42" i="39"/>
  <c r="CC32" i="39"/>
  <c r="CC25" i="39"/>
  <c r="CC20" i="39"/>
  <c r="CC21" i="39"/>
  <c r="CC34" i="39"/>
  <c r="CC24" i="39"/>
  <c r="CC18" i="39"/>
  <c r="CC14" i="39"/>
  <c r="CC26" i="39"/>
  <c r="CC22" i="39"/>
  <c r="CC33" i="39"/>
  <c r="CC28" i="39"/>
  <c r="CC16" i="39"/>
  <c r="CC36" i="39"/>
  <c r="CC40" i="39"/>
  <c r="CC13" i="39"/>
  <c r="CC6" i="39" s="1"/>
  <c r="CC3" i="39" s="1"/>
  <c r="CC37" i="39"/>
  <c r="CC38" i="39"/>
  <c r="CC35" i="39"/>
  <c r="CC17" i="39"/>
  <c r="CC15" i="39"/>
  <c r="CC23" i="39"/>
  <c r="CC30" i="39"/>
  <c r="CC27" i="39"/>
  <c r="AO23" i="42"/>
  <c r="P43" i="40"/>
  <c r="BA37" i="39"/>
  <c r="BA27" i="39"/>
  <c r="BA36" i="39"/>
  <c r="BA26" i="39"/>
  <c r="BA22" i="39"/>
  <c r="BA38" i="39"/>
  <c r="BA42" i="39"/>
  <c r="BA39" i="39"/>
  <c r="BA20" i="39"/>
  <c r="BA40" i="39"/>
  <c r="BA24" i="39"/>
  <c r="BA18" i="39"/>
  <c r="BA14" i="39"/>
  <c r="BA33" i="39"/>
  <c r="BA28" i="39"/>
  <c r="BA19" i="39"/>
  <c r="BA15" i="39"/>
  <c r="BA29" i="39"/>
  <c r="BA13" i="39"/>
  <c r="BA6" i="39" s="1"/>
  <c r="BA3" i="39" s="1"/>
  <c r="BA30" i="39"/>
  <c r="BA41" i="39"/>
  <c r="BA34" i="39"/>
  <c r="BA32" i="39"/>
  <c r="BA16" i="39"/>
  <c r="BA23" i="39"/>
  <c r="BA21" i="39"/>
  <c r="BA17" i="39"/>
  <c r="BA31" i="39"/>
  <c r="BA25" i="39"/>
  <c r="BA35" i="39"/>
  <c r="AK29" i="39"/>
  <c r="AW16" i="43"/>
  <c r="Y40" i="41"/>
  <c r="BZ18" i="39"/>
  <c r="BZ39" i="39"/>
  <c r="BW14" i="39"/>
  <c r="AC32" i="42"/>
  <c r="W41" i="43"/>
  <c r="AC31" i="42"/>
  <c r="AQ31" i="42"/>
  <c r="AQ13" i="42"/>
  <c r="AQ25" i="42"/>
  <c r="BZ33" i="39"/>
  <c r="CM5" i="39"/>
  <c r="AS5" i="39"/>
  <c r="AT5" i="39" s="1"/>
  <c r="AO35" i="42"/>
  <c r="AG36" i="43"/>
  <c r="AQ20" i="42"/>
  <c r="AG26" i="43"/>
  <c r="U23" i="43"/>
  <c r="U38" i="43"/>
  <c r="AY17" i="43"/>
  <c r="AQ28" i="42"/>
  <c r="BD14" i="42" a="1"/>
  <c r="BD14" i="42" s="1"/>
  <c r="F7" i="39"/>
  <c r="V7" i="38"/>
  <c r="V6" i="38" s="1"/>
  <c r="U6" i="38"/>
  <c r="AK36" i="39"/>
  <c r="Y20" i="41"/>
  <c r="Y12" i="41"/>
  <c r="AB20" i="41"/>
  <c r="AB21" i="41"/>
  <c r="X44" i="41"/>
  <c r="AB15" i="41"/>
  <c r="AB14" i="41"/>
  <c r="AB22" i="41"/>
  <c r="AB13" i="41"/>
  <c r="X43" i="41"/>
  <c r="AB19" i="41"/>
  <c r="AB17" i="41"/>
  <c r="AB16" i="41"/>
  <c r="AB12" i="41"/>
  <c r="AB18" i="41"/>
  <c r="BZ27" i="39"/>
  <c r="AQ39" i="42"/>
  <c r="BZ42" i="39"/>
  <c r="AW20" i="43"/>
  <c r="BZ25" i="39"/>
  <c r="AQ33" i="42"/>
  <c r="AC17" i="42"/>
  <c r="AY37" i="43"/>
  <c r="AH39" i="39"/>
  <c r="AH29" i="39"/>
  <c r="AH38" i="39"/>
  <c r="AH28" i="39"/>
  <c r="AH34" i="39"/>
  <c r="AH40" i="39"/>
  <c r="AH17" i="39"/>
  <c r="AH32" i="39"/>
  <c r="AH37" i="39"/>
  <c r="AH35" i="39"/>
  <c r="AH23" i="39"/>
  <c r="AH41" i="39"/>
  <c r="AH27" i="39"/>
  <c r="AH16" i="39"/>
  <c r="AH19" i="39"/>
  <c r="AH42" i="39"/>
  <c r="AH36" i="39"/>
  <c r="AH15" i="39"/>
  <c r="AH14" i="39"/>
  <c r="AH33" i="39"/>
  <c r="AH25" i="39"/>
  <c r="AH22" i="39"/>
  <c r="AH20" i="39"/>
  <c r="AH18" i="39"/>
  <c r="AH24" i="39"/>
  <c r="AH21" i="39"/>
  <c r="AH13" i="39"/>
  <c r="AH6" i="39" s="1"/>
  <c r="AH3" i="39" s="1"/>
  <c r="AH31" i="39"/>
  <c r="AH30" i="39"/>
  <c r="AH26" i="39"/>
  <c r="AY19" i="43"/>
  <c r="U31" i="43"/>
  <c r="AC36" i="42"/>
  <c r="BD36" i="42" s="1" a="1"/>
  <c r="BD36" i="42" s="1"/>
  <c r="L6" i="38"/>
  <c r="M7" i="38"/>
  <c r="AE29" i="42"/>
  <c r="BD29" i="42" s="1" a="1"/>
  <c r="BD29" i="42" s="1"/>
  <c r="AK19" i="39"/>
  <c r="U16" i="43"/>
  <c r="Y15" i="41"/>
  <c r="BZ21" i="39"/>
  <c r="BW29" i="39"/>
  <c r="L35" i="39"/>
  <c r="L25" i="39"/>
  <c r="L34" i="39"/>
  <c r="L24" i="39"/>
  <c r="L18" i="39"/>
  <c r="L37" i="39"/>
  <c r="L38" i="39"/>
  <c r="L23" i="39"/>
  <c r="L16" i="39"/>
  <c r="L29" i="39"/>
  <c r="L40" i="39"/>
  <c r="L31" i="39"/>
  <c r="L17" i="39"/>
  <c r="L39" i="39"/>
  <c r="L36" i="39"/>
  <c r="L26" i="39"/>
  <c r="L28" i="39"/>
  <c r="L22" i="39"/>
  <c r="L14" i="39"/>
  <c r="L30" i="39"/>
  <c r="L41" i="39"/>
  <c r="L13" i="39"/>
  <c r="L6" i="39" s="1"/>
  <c r="L3" i="39" s="1"/>
  <c r="L27" i="39"/>
  <c r="L19" i="39"/>
  <c r="L33" i="39"/>
  <c r="L32" i="39"/>
  <c r="L15" i="39"/>
  <c r="L20" i="39"/>
  <c r="L21" i="39"/>
  <c r="L42" i="39"/>
  <c r="BW39" i="39"/>
  <c r="AC23" i="42"/>
  <c r="W19" i="43"/>
  <c r="AE24" i="42"/>
  <c r="AK38" i="39"/>
  <c r="Y28" i="41"/>
  <c r="BW30" i="39"/>
  <c r="AC29" i="42"/>
  <c r="I42" i="39"/>
  <c r="I32" i="39"/>
  <c r="I41" i="39"/>
  <c r="I31" i="39"/>
  <c r="I29" i="39"/>
  <c r="I37" i="39"/>
  <c r="I30" i="39"/>
  <c r="I20" i="39"/>
  <c r="I40" i="39"/>
  <c r="I24" i="39"/>
  <c r="I17" i="39"/>
  <c r="I38" i="39"/>
  <c r="I13" i="39"/>
  <c r="I6" i="39" s="1"/>
  <c r="I3" i="39" s="1"/>
  <c r="I33" i="39"/>
  <c r="I21" i="39"/>
  <c r="I26" i="39"/>
  <c r="I34" i="39"/>
  <c r="I39" i="39"/>
  <c r="I15" i="39"/>
  <c r="I36" i="39"/>
  <c r="I27" i="39"/>
  <c r="I19" i="39"/>
  <c r="I25" i="39"/>
  <c r="I16" i="39"/>
  <c r="I23" i="39"/>
  <c r="I18" i="39"/>
  <c r="I22" i="39"/>
  <c r="I35" i="39"/>
  <c r="I14" i="39"/>
  <c r="I28" i="39"/>
  <c r="BW34" i="39"/>
  <c r="W21" i="43"/>
  <c r="AB28" i="41"/>
  <c r="Y26" i="41"/>
  <c r="AB26" i="41"/>
  <c r="AB27" i="41"/>
  <c r="AY14" i="43"/>
  <c r="AE22" i="42"/>
  <c r="AG19" i="43"/>
  <c r="BW13" i="39"/>
  <c r="BW6" i="39" s="1"/>
  <c r="BW3" i="39" s="1"/>
  <c r="AO28" i="42"/>
  <c r="W31" i="43"/>
  <c r="AO26" i="42"/>
  <c r="AC20" i="42"/>
  <c r="BD20" i="42" s="1" a="1"/>
  <c r="BD20" i="42" s="1"/>
  <c r="BW16" i="39"/>
  <c r="AA32" i="41"/>
  <c r="AG31" i="43"/>
  <c r="P16" i="40"/>
  <c r="P25" i="40"/>
  <c r="P26" i="40"/>
  <c r="P18" i="40"/>
  <c r="BC32" i="42"/>
  <c r="U21" i="43"/>
  <c r="AG17" i="43"/>
  <c r="AQ24" i="42"/>
  <c r="AW35" i="43"/>
  <c r="W29" i="43"/>
  <c r="AE15" i="42"/>
  <c r="U22" i="43"/>
  <c r="AC34" i="42"/>
  <c r="AA26" i="41"/>
  <c r="AO32" i="42"/>
  <c r="AY15" i="43"/>
  <c r="AY18" i="43"/>
  <c r="AY36" i="43"/>
  <c r="AY28" i="43"/>
  <c r="AG41" i="43"/>
  <c r="AW19" i="43"/>
  <c r="AG27" i="43"/>
  <c r="AW23" i="43"/>
  <c r="U17" i="43"/>
  <c r="BD26" i="42" a="1"/>
  <c r="BD26" i="42" s="1"/>
  <c r="BD27" i="42" a="1"/>
  <c r="BD27" i="42" s="1"/>
  <c r="AO21" i="42"/>
  <c r="AE18" i="42"/>
  <c r="AA14" i="41"/>
  <c r="AY40" i="43"/>
  <c r="AW41" i="43"/>
  <c r="AA27" i="41"/>
  <c r="AY41" i="43"/>
  <c r="CP38" i="39"/>
  <c r="CP34" i="39"/>
  <c r="CP24" i="39"/>
  <c r="CP14" i="39"/>
  <c r="CP39" i="39"/>
  <c r="CP19" i="39"/>
  <c r="CP27" i="39"/>
  <c r="CP40" i="39"/>
  <c r="CP28" i="39"/>
  <c r="CP17" i="39"/>
  <c r="CP30" i="39"/>
  <c r="CP25" i="39"/>
  <c r="CP35" i="39"/>
  <c r="CP26" i="39"/>
  <c r="CP22" i="39"/>
  <c r="CP21" i="39"/>
  <c r="CP41" i="39"/>
  <c r="CP31" i="39"/>
  <c r="CP20" i="39"/>
  <c r="CP37" i="39"/>
  <c r="CP33" i="39"/>
  <c r="CP16" i="39"/>
  <c r="CP42" i="39"/>
  <c r="CP18" i="39"/>
  <c r="CP32" i="39"/>
  <c r="CP36" i="39"/>
  <c r="CP15" i="39"/>
  <c r="CP13" i="39"/>
  <c r="CP6" i="39" s="1"/>
  <c r="CP3" i="39" s="1"/>
  <c r="CP23" i="39"/>
  <c r="CP29" i="39"/>
  <c r="AO25" i="42"/>
  <c r="BC35" i="42"/>
  <c r="AN34" i="40"/>
  <c r="P20" i="40"/>
  <c r="CS41" i="39"/>
  <c r="CS37" i="39"/>
  <c r="CS27" i="39"/>
  <c r="CS17" i="39"/>
  <c r="CS34" i="39"/>
  <c r="CS26" i="39"/>
  <c r="CS40" i="39"/>
  <c r="CS28" i="39"/>
  <c r="CS36" i="39"/>
  <c r="CS29" i="39"/>
  <c r="CS16" i="39"/>
  <c r="CS38" i="39"/>
  <c r="CS30" i="39"/>
  <c r="CS25" i="39"/>
  <c r="CS32" i="39"/>
  <c r="CS23" i="39"/>
  <c r="CS35" i="39"/>
  <c r="CS20" i="39"/>
  <c r="CS22" i="39"/>
  <c r="CS21" i="39"/>
  <c r="CS31" i="39"/>
  <c r="CS19" i="39"/>
  <c r="CS42" i="39"/>
  <c r="CS18" i="39"/>
  <c r="CS24" i="39"/>
  <c r="CS15" i="39"/>
  <c r="CS14" i="39"/>
  <c r="CS39" i="39"/>
  <c r="CS13" i="39"/>
  <c r="CS6" i="39" s="1"/>
  <c r="CS3" i="39" s="1"/>
  <c r="CS33" i="39"/>
  <c r="AK31" i="39"/>
  <c r="AO30" i="42"/>
  <c r="Y32" i="41"/>
  <c r="Y24" i="41"/>
  <c r="BZ29" i="39"/>
  <c r="BW31" i="39"/>
  <c r="AC18" i="42"/>
  <c r="AC35" i="42"/>
  <c r="BD35" i="42" s="1" a="1"/>
  <c r="BD35" i="42" s="1"/>
  <c r="Y38" i="41"/>
  <c r="BW27" i="39"/>
  <c r="AG20" i="43"/>
  <c r="AC25" i="42"/>
  <c r="Y34" i="41"/>
  <c r="AE17" i="42"/>
  <c r="AY42" i="43"/>
  <c r="Y25" i="41"/>
  <c r="AA41" i="41"/>
  <c r="AB25" i="41"/>
  <c r="AB23" i="41"/>
  <c r="Y23" i="41"/>
  <c r="AB24" i="41"/>
  <c r="AE27" i="42"/>
  <c r="AG33" i="43"/>
  <c r="W30" i="43"/>
  <c r="AC15" i="42"/>
  <c r="AG38" i="43"/>
  <c r="AK40" i="39"/>
  <c r="AG23" i="43"/>
  <c r="AQ27" i="42"/>
  <c r="AQ32" i="42"/>
  <c r="BW23" i="39"/>
  <c r="AC24" i="42"/>
  <c r="BD24" i="42" s="1" a="1"/>
  <c r="BD24" i="42" s="1"/>
  <c r="Y21" i="41"/>
  <c r="BW33" i="39"/>
  <c r="AE20" i="42"/>
  <c r="AE42" i="42"/>
  <c r="AY21" i="43"/>
  <c r="BD40" i="42" a="1"/>
  <c r="BD40" i="42" s="1"/>
  <c r="AO42" i="42"/>
  <c r="AA31" i="41"/>
  <c r="AY24" i="43"/>
  <c r="AY20" i="43"/>
  <c r="BC27" i="42"/>
  <c r="AC28" i="42"/>
  <c r="BD28" i="42" s="1" a="1"/>
  <c r="BD28" i="42" s="1"/>
  <c r="AW42" i="43"/>
  <c r="AE31" i="42"/>
  <c r="BD31" i="42" s="1" a="1"/>
  <c r="BD31" i="42" s="1"/>
  <c r="AY39" i="43"/>
  <c r="W22" i="43"/>
  <c r="BC41" i="42"/>
  <c r="AQ16" i="42"/>
  <c r="AE21" i="42"/>
  <c r="AN29" i="40"/>
  <c r="AN30" i="40"/>
  <c r="AW38" i="43"/>
  <c r="AG40" i="43"/>
  <c r="BC13" i="42"/>
  <c r="BC39" i="42"/>
  <c r="BC20" i="42"/>
  <c r="BC40" i="42"/>
  <c r="BC15" i="42"/>
  <c r="AQ23" i="42"/>
  <c r="AN27" i="40"/>
  <c r="AN44" i="40"/>
  <c r="P31" i="40"/>
  <c r="AY26" i="43"/>
  <c r="AK41" i="39"/>
  <c r="CF42" i="39"/>
  <c r="CF32" i="39"/>
  <c r="CF22" i="39"/>
  <c r="CF38" i="39"/>
  <c r="CF30" i="39"/>
  <c r="CF23" i="39"/>
  <c r="CF39" i="39"/>
  <c r="CF33" i="39"/>
  <c r="CF13" i="39"/>
  <c r="CF6" i="39" s="1"/>
  <c r="CF3" i="39" s="1"/>
  <c r="CF31" i="39"/>
  <c r="CF24" i="39"/>
  <c r="CF18" i="39"/>
  <c r="CF26" i="39"/>
  <c r="CF40" i="39"/>
  <c r="CF36" i="39"/>
  <c r="CF15" i="39"/>
  <c r="CF19" i="39"/>
  <c r="CF14" i="39"/>
  <c r="CF37" i="39"/>
  <c r="CF29" i="39"/>
  <c r="CF25" i="39"/>
  <c r="CF16" i="39"/>
  <c r="CF28" i="39"/>
  <c r="CF20" i="39"/>
  <c r="CF41" i="39"/>
  <c r="CF35" i="39"/>
  <c r="CF17" i="39"/>
  <c r="CF34" i="39"/>
  <c r="CF21" i="39"/>
  <c r="CF27" i="39"/>
  <c r="AB31" i="41"/>
  <c r="AB29" i="41"/>
  <c r="AB32" i="41"/>
  <c r="AB30" i="41"/>
  <c r="Y29" i="41"/>
  <c r="Y18" i="41"/>
  <c r="BG33" i="39"/>
  <c r="BG23" i="39"/>
  <c r="BG42" i="39"/>
  <c r="BG32" i="39"/>
  <c r="BG39" i="39"/>
  <c r="BG34" i="39"/>
  <c r="BG26" i="39"/>
  <c r="BG19" i="39"/>
  <c r="BG28" i="39"/>
  <c r="BG22" i="39"/>
  <c r="BG38" i="39"/>
  <c r="BG35" i="39"/>
  <c r="BG30" i="39"/>
  <c r="BG41" i="39"/>
  <c r="BG21" i="39"/>
  <c r="BG31" i="39"/>
  <c r="BG20" i="39"/>
  <c r="BG27" i="39"/>
  <c r="BG17" i="39"/>
  <c r="BG13" i="39"/>
  <c r="BG6" i="39" s="1"/>
  <c r="BG3" i="39" s="1"/>
  <c r="BG40" i="39"/>
  <c r="BG14" i="39"/>
  <c r="BG37" i="39"/>
  <c r="BG24" i="39"/>
  <c r="BG25" i="39"/>
  <c r="BG18" i="39"/>
  <c r="BG29" i="39"/>
  <c r="BG36" i="39"/>
  <c r="BG16" i="39"/>
  <c r="BG15" i="39"/>
  <c r="Q7" i="38"/>
  <c r="P6" i="38"/>
  <c r="BW19" i="39"/>
  <c r="BQ5" i="39"/>
  <c r="J83" i="27"/>
  <c r="J76" i="27"/>
  <c r="K76" i="27"/>
  <c r="B76" i="27" s="1"/>
  <c r="J48" i="27"/>
  <c r="J44" i="27"/>
  <c r="K44" i="27"/>
  <c r="K94" i="27"/>
  <c r="B94" i="27" s="1"/>
  <c r="K82" i="27"/>
  <c r="B82" i="27" s="1"/>
  <c r="K77" i="27"/>
  <c r="B77" i="27" s="1"/>
  <c r="K61" i="27"/>
  <c r="B61" i="27" s="1"/>
  <c r="K83" i="27"/>
  <c r="B83" i="27" s="1"/>
  <c r="J49" i="27"/>
  <c r="J93" i="27"/>
  <c r="J70" i="27"/>
  <c r="K70" i="27"/>
  <c r="B70" i="27" s="1"/>
  <c r="K47" i="27"/>
  <c r="B47" i="27" s="1"/>
  <c r="J82" i="27"/>
  <c r="J47" i="27"/>
  <c r="K95" i="27"/>
  <c r="B95" i="27" s="1"/>
  <c r="K46" i="27"/>
  <c r="B46" i="27" s="1"/>
  <c r="J77" i="27"/>
  <c r="K62" i="27"/>
  <c r="B62" i="27" s="1"/>
  <c r="J46" i="27"/>
  <c r="J51" i="27"/>
  <c r="J61" i="27"/>
  <c r="K51" i="27"/>
  <c r="B51" i="27" s="1"/>
  <c r="K48" i="27"/>
  <c r="B48" i="27" s="1"/>
  <c r="K45" i="27"/>
  <c r="B45" i="27" s="1"/>
  <c r="CE22" i="29"/>
  <c r="CE30" i="29"/>
  <c r="DB30" i="29"/>
  <c r="CG29" i="29"/>
  <c r="CE15" i="29"/>
  <c r="K57" i="27"/>
  <c r="B57" i="27" s="1"/>
  <c r="J57" i="27"/>
  <c r="CG27" i="29"/>
  <c r="DB21" i="29"/>
  <c r="CU29" i="29"/>
  <c r="DB29" i="29" s="1"/>
  <c r="CE17" i="29"/>
  <c r="CG17" i="29"/>
  <c r="EZ29" i="29"/>
  <c r="FC29" i="29" s="1"/>
  <c r="EX29" i="29"/>
  <c r="FA29" i="29" s="1"/>
  <c r="FB29" i="29" s="1"/>
  <c r="EZ24" i="29"/>
  <c r="FC24" i="29" s="1"/>
  <c r="DV36" i="29"/>
  <c r="J54" i="27"/>
  <c r="K54" i="27"/>
  <c r="B54" i="27" s="1"/>
  <c r="EX28" i="29"/>
  <c r="FA28" i="29" s="1"/>
  <c r="CE16" i="29"/>
  <c r="EZ27" i="29"/>
  <c r="FC27" i="29" s="1"/>
  <c r="EZ26" i="29"/>
  <c r="FC26" i="29" s="1"/>
  <c r="CE14" i="29"/>
  <c r="CE26" i="29"/>
  <c r="CU21" i="29"/>
  <c r="CU13" i="29"/>
  <c r="DB13" i="29" s="1"/>
  <c r="CT38" i="29"/>
  <c r="CU35" i="29"/>
  <c r="DB35" i="29" s="1"/>
  <c r="CT39" i="29"/>
  <c r="CU36" i="29"/>
  <c r="CU20" i="29"/>
  <c r="DB20" i="29" s="1"/>
  <c r="CU26" i="29"/>
  <c r="C47" i="29"/>
  <c r="C49" i="29"/>
  <c r="C48" i="29"/>
  <c r="CG18" i="29"/>
  <c r="J95" i="27"/>
  <c r="EX35" i="29"/>
  <c r="FA35" i="29" s="1"/>
  <c r="CU34" i="29"/>
  <c r="CD20" i="29"/>
  <c r="CE20" i="29" s="1"/>
  <c r="DB36" i="29"/>
  <c r="CE27" i="29"/>
  <c r="EX13" i="29"/>
  <c r="FA13" i="29" s="1"/>
  <c r="EX33" i="29"/>
  <c r="FA33" i="29" s="1"/>
  <c r="EX21" i="29"/>
  <c r="FA21" i="29" s="1"/>
  <c r="CU31" i="29"/>
  <c r="DB31" i="29" s="1"/>
  <c r="CU33" i="29"/>
  <c r="CG31" i="29"/>
  <c r="CE32" i="29"/>
  <c r="CE34" i="29"/>
  <c r="FD37" i="29"/>
  <c r="B77" i="29"/>
  <c r="K96" i="27"/>
  <c r="B96" i="27" s="1"/>
  <c r="J96" i="27"/>
  <c r="DB34" i="29"/>
  <c r="DV16" i="29"/>
  <c r="J50" i="27"/>
  <c r="U53" i="27"/>
  <c r="K50" i="27"/>
  <c r="B50" i="27" s="1"/>
  <c r="EX16" i="29"/>
  <c r="FA16" i="29" s="1"/>
  <c r="FB17" i="29" s="1"/>
  <c r="CG37" i="29"/>
  <c r="CE24" i="29"/>
  <c r="DB37" i="29"/>
  <c r="EZ19" i="29"/>
  <c r="FC19" i="29" s="1"/>
  <c r="J84" i="27"/>
  <c r="K84" i="27"/>
  <c r="B84" i="27" s="1"/>
  <c r="EX18" i="29"/>
  <c r="FA18" i="29" s="1"/>
  <c r="CU32" i="29"/>
  <c r="DB32" i="29" s="1"/>
  <c r="EZ23" i="29"/>
  <c r="FC23" i="29" s="1"/>
  <c r="U79" i="27"/>
  <c r="J78" i="27"/>
  <c r="K78" i="27"/>
  <c r="B78" i="27" s="1"/>
  <c r="CU28" i="29"/>
  <c r="EW40" i="29"/>
  <c r="DV18" i="29"/>
  <c r="DV13" i="29"/>
  <c r="CD13" i="29"/>
  <c r="DB24" i="29"/>
  <c r="CU19" i="29"/>
  <c r="CU15" i="29"/>
  <c r="DB15" i="29" s="1"/>
  <c r="CU27" i="29"/>
  <c r="DV15" i="29"/>
  <c r="CF35" i="29"/>
  <c r="EZ17" i="29"/>
  <c r="FC17" i="29" s="1"/>
  <c r="EX34" i="29"/>
  <c r="FA34" i="29" s="1"/>
  <c r="DV25" i="29"/>
  <c r="CF28" i="29"/>
  <c r="CF15" i="29"/>
  <c r="CG15" i="29" s="1"/>
  <c r="EY39" i="29"/>
  <c r="J62" i="27"/>
  <c r="EZ21" i="29"/>
  <c r="FC21" i="29" s="1"/>
  <c r="FD21" i="29" s="1"/>
  <c r="CU17" i="29"/>
  <c r="CU25" i="29"/>
  <c r="DB25" i="29" s="1"/>
  <c r="CF33" i="29"/>
  <c r="EY40" i="29"/>
  <c r="K49" i="27"/>
  <c r="B49" i="27" s="1"/>
  <c r="EX27" i="29"/>
  <c r="FA27" i="29" s="1"/>
  <c r="EZ16" i="29"/>
  <c r="FC16" i="29" s="1"/>
  <c r="U52" i="27"/>
  <c r="EZ18" i="29"/>
  <c r="FC18" i="29" s="1"/>
  <c r="EZ25" i="29"/>
  <c r="FC25" i="29" s="1"/>
  <c r="EZ15" i="29"/>
  <c r="FC15" i="29" s="1"/>
  <c r="FD20" i="29" s="1"/>
  <c r="CU30" i="29"/>
  <c r="EX25" i="29"/>
  <c r="FA25" i="29" s="1"/>
  <c r="EX15" i="29"/>
  <c r="FA15" i="29" s="1"/>
  <c r="DV21" i="29"/>
  <c r="J94" i="27"/>
  <c r="CY18" i="29"/>
  <c r="DB18" i="29" s="1"/>
  <c r="CY16" i="29"/>
  <c r="CY27" i="29"/>
  <c r="DB27" i="29" s="1"/>
  <c r="CY33" i="29"/>
  <c r="DB33" i="29" s="1"/>
  <c r="CY17" i="29"/>
  <c r="CY28" i="29"/>
  <c r="CY22" i="29"/>
  <c r="CZ21" i="29"/>
  <c r="EZ32" i="29"/>
  <c r="FC32" i="29" s="1"/>
  <c r="EZ14" i="29"/>
  <c r="FC14" i="29" s="1"/>
  <c r="EZ28" i="29"/>
  <c r="FC28" i="29" s="1"/>
  <c r="EY38" i="29"/>
  <c r="DV20" i="29"/>
  <c r="DV33" i="29"/>
  <c r="EX14" i="29"/>
  <c r="FA14" i="29" s="1"/>
  <c r="EW39" i="29"/>
  <c r="EX32" i="29"/>
  <c r="FA32" i="29" s="1"/>
  <c r="EX24" i="29"/>
  <c r="FA24" i="29" s="1"/>
  <c r="EW38" i="29"/>
  <c r="CY26" i="29"/>
  <c r="DB26" i="29" s="1"/>
  <c r="CY19" i="29"/>
  <c r="DB19" i="29" s="1"/>
  <c r="CX38" i="29"/>
  <c r="EX37" i="29"/>
  <c r="FA37" i="29" s="1"/>
  <c r="CZ25" i="29"/>
  <c r="EZ33" i="29"/>
  <c r="FC33" i="29" s="1"/>
  <c r="EZ31" i="29"/>
  <c r="FC31" i="29" s="1"/>
  <c r="DV17" i="29"/>
  <c r="CU16" i="29"/>
  <c r="CU22" i="29"/>
  <c r="CU14" i="29"/>
  <c r="DB14" i="29" s="1"/>
  <c r="CW23" i="29"/>
  <c r="CZ23" i="29" s="1"/>
  <c r="CU23" i="29"/>
  <c r="DB23" i="29" s="1"/>
  <c r="DE35" i="29"/>
  <c r="DV35" i="29" s="1"/>
  <c r="DW35" i="29" s="1"/>
  <c r="CW15" i="29"/>
  <c r="CZ15" i="29" s="1"/>
  <c r="CT40" i="29"/>
  <c r="DE32" i="29"/>
  <c r="DV32" i="29" s="1"/>
  <c r="CW13" i="29"/>
  <c r="CZ13" i="29" s="1"/>
  <c r="DA34" i="29" s="1"/>
  <c r="DE34" i="29"/>
  <c r="DV34" i="29" s="1"/>
  <c r="DE22" i="29"/>
  <c r="DV22" i="29" s="1"/>
  <c r="CU18" i="29"/>
  <c r="DE13" i="29"/>
  <c r="DE37" i="29"/>
  <c r="DV37" i="29" s="1"/>
  <c r="DE25" i="29"/>
  <c r="CW33" i="29"/>
  <c r="CZ33" i="29" s="1"/>
  <c r="CW19" i="29"/>
  <c r="CZ19" i="29" s="1"/>
  <c r="DE31" i="29"/>
  <c r="DV31" i="29" s="1"/>
  <c r="DW31" i="29" s="1"/>
  <c r="Y114" i="44" a="1"/>
  <c r="AF114" i="44"/>
  <c r="V87" i="44"/>
  <c r="E99" i="27" a="1"/>
  <c r="Z113" i="44" a="1"/>
  <c r="AA113" i="44"/>
  <c r="AD113" i="44"/>
  <c r="AC114" i="44"/>
  <c r="V113" i="44"/>
  <c r="AB114" i="44"/>
  <c r="E72" i="27" a="1"/>
  <c r="E80" i="27" a="1"/>
  <c r="U113" i="44" a="1"/>
  <c r="X114" i="44"/>
  <c r="U87" i="44" a="1"/>
  <c r="T114" i="44" a="1"/>
  <c r="G98" i="27" a="1"/>
  <c r="AE114" i="44"/>
  <c r="W114" i="44"/>
  <c r="K14" i="38" l="1"/>
  <c r="M31" i="38"/>
  <c r="K28" i="38"/>
  <c r="M38" i="38"/>
  <c r="G59" i="45"/>
  <c r="U87" i="44"/>
  <c r="F59" i="45" s="1"/>
  <c r="U22" i="38"/>
  <c r="BD17" i="42" a="1"/>
  <c r="BD17" i="42" s="1"/>
  <c r="S15" i="38" s="1"/>
  <c r="BD25" i="42" a="1"/>
  <c r="BD25" i="42" s="1"/>
  <c r="S23" i="38" s="1"/>
  <c r="BD23" i="42" a="1"/>
  <c r="BD23" i="42" s="1"/>
  <c r="S21" i="38" s="1"/>
  <c r="BD13" i="42" a="1"/>
  <c r="BD13" i="42" s="1"/>
  <c r="S11" i="38" s="1"/>
  <c r="U28" i="38"/>
  <c r="U40" i="38"/>
  <c r="BD15" i="42" a="1"/>
  <c r="BD15" i="42" s="1"/>
  <c r="S13" i="38" s="1"/>
  <c r="U38" i="38"/>
  <c r="BD34" i="42" a="1"/>
  <c r="BD34" i="42" s="1"/>
  <c r="S32" i="38" s="1"/>
  <c r="U37" i="38"/>
  <c r="U34" i="38"/>
  <c r="AE14" i="41" a="1"/>
  <c r="AE14" i="41" s="1"/>
  <c r="E99" i="27"/>
  <c r="T114" i="44"/>
  <c r="G100" i="45" s="1"/>
  <c r="M14" i="38"/>
  <c r="M39" i="38"/>
  <c r="M36" i="38"/>
  <c r="K32" i="38"/>
  <c r="K27" i="38"/>
  <c r="U113" i="44"/>
  <c r="F57" i="45" s="1"/>
  <c r="G98" i="27"/>
  <c r="N57" i="45"/>
  <c r="G57" i="45"/>
  <c r="Z113" i="44"/>
  <c r="M57" i="45" s="1"/>
  <c r="Y114" i="44"/>
  <c r="G152" i="45" s="1"/>
  <c r="K100" i="45"/>
  <c r="J152" i="45"/>
  <c r="J100" i="45"/>
  <c r="K152" i="45"/>
  <c r="AC32" i="41" a="1"/>
  <c r="AC32" i="41" s="1"/>
  <c r="C58" i="29"/>
  <c r="E72" i="27"/>
  <c r="E80" i="27"/>
  <c r="C51" i="29"/>
  <c r="C52" i="29" s="1"/>
  <c r="C59" i="29"/>
  <c r="C56" i="29"/>
  <c r="C55" i="29"/>
  <c r="B44" i="27"/>
  <c r="K13" i="38"/>
  <c r="M40" i="38"/>
  <c r="K24" i="38"/>
  <c r="M17" i="38"/>
  <c r="M35" i="38"/>
  <c r="M12" i="38"/>
  <c r="K40" i="38"/>
  <c r="M30" i="38"/>
  <c r="M19" i="38"/>
  <c r="K33" i="38"/>
  <c r="K39" i="38"/>
  <c r="M33" i="38"/>
  <c r="M23" i="38"/>
  <c r="K36" i="38"/>
  <c r="K25" i="38"/>
  <c r="M24" i="38"/>
  <c r="K38" i="38"/>
  <c r="S36" i="38"/>
  <c r="S39" i="38"/>
  <c r="U31" i="38"/>
  <c r="Y15" i="38"/>
  <c r="W12" i="38"/>
  <c r="W29" i="38"/>
  <c r="Y32" i="38"/>
  <c r="S29" i="38"/>
  <c r="U32" i="38"/>
  <c r="Y11" i="38"/>
  <c r="W37" i="38"/>
  <c r="S27" i="38"/>
  <c r="Y17" i="38"/>
  <c r="U14" i="38"/>
  <c r="S22" i="38"/>
  <c r="W26" i="38"/>
  <c r="W13" i="38"/>
  <c r="S26" i="38"/>
  <c r="W24" i="38"/>
  <c r="W36" i="38"/>
  <c r="U23" i="38"/>
  <c r="U26" i="38"/>
  <c r="Y23" i="38"/>
  <c r="S14" i="38"/>
  <c r="Y28" i="38"/>
  <c r="Y18" i="38"/>
  <c r="U29" i="38"/>
  <c r="S17" i="38"/>
  <c r="Y16" i="38"/>
  <c r="Y38" i="38"/>
  <c r="Y30" i="38"/>
  <c r="Y22" i="38"/>
  <c r="S19" i="38"/>
  <c r="W39" i="38"/>
  <c r="U13" i="38"/>
  <c r="U30" i="38"/>
  <c r="U20" i="38"/>
  <c r="Y40" i="38"/>
  <c r="W15" i="38"/>
  <c r="U35" i="38"/>
  <c r="W40" i="38"/>
  <c r="Y21" i="38"/>
  <c r="S34" i="38"/>
  <c r="Y34" i="38"/>
  <c r="W31" i="38"/>
  <c r="Y27" i="38"/>
  <c r="S33" i="38"/>
  <c r="W27" i="38"/>
  <c r="Y20" i="38"/>
  <c r="W19" i="38"/>
  <c r="Y35" i="38"/>
  <c r="W21" i="38"/>
  <c r="W25" i="38"/>
  <c r="S37" i="38"/>
  <c r="Y14" i="38"/>
  <c r="Y33" i="38"/>
  <c r="W20" i="38"/>
  <c r="Y36" i="38"/>
  <c r="U16" i="38"/>
  <c r="U27" i="38"/>
  <c r="W23" i="38"/>
  <c r="AE16" i="41" a="1"/>
  <c r="AE16" i="41" s="1"/>
  <c r="W22" i="38"/>
  <c r="AD44" i="41"/>
  <c r="AE12" i="41" a="1"/>
  <c r="AE12" i="41" s="1"/>
  <c r="AD43" i="41"/>
  <c r="AC19" i="41" a="1"/>
  <c r="AC19" i="41" s="1"/>
  <c r="AE25" i="41" a="1"/>
  <c r="AE25" i="41" s="1"/>
  <c r="BG35" i="42"/>
  <c r="AC22" i="41" a="1"/>
  <c r="AC22" i="41" s="1"/>
  <c r="AE38" i="41" a="1"/>
  <c r="AE38" i="41" s="1"/>
  <c r="AE41" i="41" a="1"/>
  <c r="AE41" i="41" s="1"/>
  <c r="AE28" i="41" a="1"/>
  <c r="AE28" i="41" s="1"/>
  <c r="AE20" i="41" a="1"/>
  <c r="AE20" i="41" s="1"/>
  <c r="AC41" i="41" a="1"/>
  <c r="AC41" i="41" s="1"/>
  <c r="BD22" i="42" a="1"/>
  <c r="BD22" i="42" s="1"/>
  <c r="W34" i="38"/>
  <c r="AC24" i="41" a="1"/>
  <c r="AC24" i="41" s="1"/>
  <c r="BD18" i="42" a="1"/>
  <c r="BD18" i="42" s="1"/>
  <c r="BD42" i="42" a="1"/>
  <c r="BD42" i="42" s="1"/>
  <c r="W14" i="38"/>
  <c r="U15" i="38"/>
  <c r="AE23" i="41" a="1"/>
  <c r="AE23" i="41" s="1"/>
  <c r="S31" i="38"/>
  <c r="AE21" i="41" a="1"/>
  <c r="AE21" i="41" s="1"/>
  <c r="AU5" i="39"/>
  <c r="BD32" i="42" a="1"/>
  <c r="BD32" i="42" s="1"/>
  <c r="AC27" i="41" a="1"/>
  <c r="AC27" i="41" s="1"/>
  <c r="AC14" i="41" a="1"/>
  <c r="AC14" i="41" s="1"/>
  <c r="AE36" i="41" a="1"/>
  <c r="AE36" i="41" s="1"/>
  <c r="Y29" i="38"/>
  <c r="AC29" i="41" a="1"/>
  <c r="AC29" i="41" s="1"/>
  <c r="AC16" i="41" a="1"/>
  <c r="AC16" i="41" s="1"/>
  <c r="S38" i="38"/>
  <c r="U25" i="38"/>
  <c r="AC25" i="41" a="1"/>
  <c r="AC25" i="41" s="1"/>
  <c r="Y12" i="38"/>
  <c r="AC39" i="41" a="1"/>
  <c r="AC39" i="41" s="1"/>
  <c r="AE19" i="41" a="1"/>
  <c r="AE19" i="41" s="1"/>
  <c r="BD37" i="42" a="1"/>
  <c r="BD37" i="42" s="1"/>
  <c r="AC26" i="41" a="1"/>
  <c r="AC26" i="41" s="1"/>
  <c r="AC15" i="41" a="1"/>
  <c r="AC15" i="41" s="1"/>
  <c r="AE34" i="41" a="1"/>
  <c r="AE34" i="41" s="1"/>
  <c r="AC38" i="41" a="1"/>
  <c r="AC38" i="41" s="1"/>
  <c r="S25" i="38"/>
  <c r="AC31" i="41" a="1"/>
  <c r="AC31" i="41" s="1"/>
  <c r="Y31" i="38"/>
  <c r="AE39" i="41" a="1"/>
  <c r="AE39" i="41" s="1"/>
  <c r="W17" i="38"/>
  <c r="S12" i="38"/>
  <c r="AE26" i="41" a="1"/>
  <c r="AE26" i="41" s="1"/>
  <c r="AE33" i="41" a="1"/>
  <c r="AE33" i="41" s="1"/>
  <c r="AE40" i="41" a="1"/>
  <c r="AE40" i="41" s="1"/>
  <c r="U24" i="38"/>
  <c r="AE22" i="41" a="1"/>
  <c r="AE22" i="41" s="1"/>
  <c r="AC37" i="41" a="1"/>
  <c r="AC37" i="41" s="1"/>
  <c r="AE32" i="41" a="1"/>
  <c r="AE32" i="41" s="1"/>
  <c r="AC21" i="41" a="1"/>
  <c r="AC21" i="41" s="1"/>
  <c r="AE37" i="41" a="1"/>
  <c r="AE37" i="41" s="1"/>
  <c r="Y19" i="38"/>
  <c r="R7" i="38"/>
  <c r="R6" i="38" s="1"/>
  <c r="Q6" i="38"/>
  <c r="AC40" i="41" a="1"/>
  <c r="AC40" i="41" s="1"/>
  <c r="AC13" i="41" a="1"/>
  <c r="AC13" i="41" s="1"/>
  <c r="AE29" i="41" a="1"/>
  <c r="AE29" i="41" s="1"/>
  <c r="AC28" i="41" a="1"/>
  <c r="AC28" i="41" s="1"/>
  <c r="AE13" i="41" a="1"/>
  <c r="AE13" i="41" s="1"/>
  <c r="AC35" i="41" a="1"/>
  <c r="AC35" i="41" s="1"/>
  <c r="AC36" i="41" a="1"/>
  <c r="AC36" i="41" s="1"/>
  <c r="U18" i="38"/>
  <c r="Y24" i="38"/>
  <c r="S24" i="38"/>
  <c r="U39" i="38"/>
  <c r="N7" i="38"/>
  <c r="N6" i="38" s="1"/>
  <c r="M6" i="38"/>
  <c r="S18" i="38"/>
  <c r="AE31" i="41" a="1"/>
  <c r="AE31" i="41" s="1"/>
  <c r="AE27" i="41" a="1"/>
  <c r="AE27" i="41" s="1"/>
  <c r="AE18" i="41" a="1"/>
  <c r="AE18" i="41" s="1"/>
  <c r="AE35" i="41" a="1"/>
  <c r="AE35" i="41" s="1"/>
  <c r="AC33" i="41" a="1"/>
  <c r="AC33" i="41" s="1"/>
  <c r="AB44" i="41"/>
  <c r="AB43" i="41"/>
  <c r="AC12" i="41" a="1"/>
  <c r="AC12" i="41" s="1"/>
  <c r="AE24" i="41" a="1"/>
  <c r="AE24" i="41" s="1"/>
  <c r="AE17" i="41" a="1"/>
  <c r="AE17" i="41" s="1"/>
  <c r="AC17" i="41" a="1"/>
  <c r="AC17" i="41" s="1"/>
  <c r="AC23" i="41" a="1"/>
  <c r="AC23" i="41" s="1"/>
  <c r="AE30" i="41" a="1"/>
  <c r="AE30" i="41" s="1"/>
  <c r="S28" i="38"/>
  <c r="AE15" i="41" a="1"/>
  <c r="AE15" i="41" s="1"/>
  <c r="U12" i="38"/>
  <c r="AC30" i="41" a="1"/>
  <c r="AC30" i="41" s="1"/>
  <c r="AC18" i="41" a="1"/>
  <c r="AC18" i="41" s="1"/>
  <c r="AC20" i="41" a="1"/>
  <c r="AC20" i="41" s="1"/>
  <c r="AC34" i="41" a="1"/>
  <c r="AC34" i="41" s="1"/>
  <c r="DW37" i="29"/>
  <c r="DW32" i="29"/>
  <c r="DW22" i="29"/>
  <c r="DB17" i="29"/>
  <c r="DA27" i="29"/>
  <c r="FD29" i="29"/>
  <c r="J63" i="27"/>
  <c r="K63" i="27"/>
  <c r="B63" i="27" s="1"/>
  <c r="DB39" i="29"/>
  <c r="DB38" i="29"/>
  <c r="DC13" i="29"/>
  <c r="DA14" i="29"/>
  <c r="CG28" i="29"/>
  <c r="K79" i="27"/>
  <c r="B79" i="27" s="1"/>
  <c r="J79" i="27"/>
  <c r="U80" i="27"/>
  <c r="DA13" i="29"/>
  <c r="CZ39" i="29"/>
  <c r="CZ40" i="29"/>
  <c r="CZ38" i="29"/>
  <c r="DA28" i="29"/>
  <c r="DA20" i="29"/>
  <c r="DA36" i="29"/>
  <c r="FD14" i="29"/>
  <c r="CG34" i="29"/>
  <c r="CG24" i="29"/>
  <c r="CG22" i="29"/>
  <c r="DA37" i="29"/>
  <c r="CG32" i="29"/>
  <c r="DV38" i="29"/>
  <c r="DV39" i="29"/>
  <c r="DV40" i="29"/>
  <c r="DW13" i="29"/>
  <c r="DW28" i="29"/>
  <c r="FB37" i="29"/>
  <c r="DW18" i="29"/>
  <c r="FD36" i="29"/>
  <c r="CF38" i="29"/>
  <c r="CG19" i="29"/>
  <c r="FB24" i="29"/>
  <c r="DW25" i="29"/>
  <c r="U56" i="27"/>
  <c r="K53" i="27"/>
  <c r="B53" i="27" s="1"/>
  <c r="J53" i="27"/>
  <c r="CG36" i="29"/>
  <c r="FB34" i="29"/>
  <c r="CG13" i="29"/>
  <c r="FD22" i="29"/>
  <c r="FD17" i="29"/>
  <c r="FB33" i="29"/>
  <c r="FD15" i="29"/>
  <c r="FB13" i="29"/>
  <c r="FA39" i="29"/>
  <c r="FA38" i="29"/>
  <c r="FA40" i="29"/>
  <c r="FD26" i="29"/>
  <c r="DC21" i="29"/>
  <c r="DW30" i="29"/>
  <c r="FD25" i="29"/>
  <c r="DW16" i="29"/>
  <c r="FD27" i="29"/>
  <c r="DW23" i="29"/>
  <c r="FC39" i="29"/>
  <c r="DW26" i="29"/>
  <c r="DW20" i="29"/>
  <c r="FD18" i="29"/>
  <c r="FB36" i="29"/>
  <c r="DW34" i="29"/>
  <c r="FC40" i="29"/>
  <c r="FD28" i="29"/>
  <c r="DW24" i="29"/>
  <c r="DW17" i="29"/>
  <c r="J97" i="27"/>
  <c r="K97" i="27"/>
  <c r="B97" i="27" s="1"/>
  <c r="CG26" i="29"/>
  <c r="DA21" i="29"/>
  <c r="B78" i="29"/>
  <c r="FB35" i="29"/>
  <c r="DC20" i="29"/>
  <c r="CE28" i="29"/>
  <c r="CE29" i="29"/>
  <c r="DA29" i="29"/>
  <c r="DA25" i="29"/>
  <c r="DA30" i="29"/>
  <c r="DA15" i="29"/>
  <c r="FB16" i="29"/>
  <c r="FB31" i="29"/>
  <c r="CF39" i="29"/>
  <c r="DW21" i="29"/>
  <c r="CG30" i="29"/>
  <c r="FD23" i="29"/>
  <c r="FB25" i="29"/>
  <c r="FD35" i="29"/>
  <c r="FB18" i="29"/>
  <c r="FB14" i="29"/>
  <c r="CG35" i="29"/>
  <c r="DA17" i="29"/>
  <c r="CF40" i="29"/>
  <c r="FD13" i="29"/>
  <c r="DA23" i="29"/>
  <c r="DW33" i="29"/>
  <c r="DW15" i="29"/>
  <c r="DA18" i="29"/>
  <c r="FB28" i="29"/>
  <c r="FD19" i="29"/>
  <c r="CE35" i="29"/>
  <c r="DB22" i="29"/>
  <c r="CG33" i="29"/>
  <c r="CD38" i="29"/>
  <c r="CE13" i="29"/>
  <c r="CD39" i="29"/>
  <c r="CD40" i="29"/>
  <c r="CE25" i="29"/>
  <c r="CE21" i="29"/>
  <c r="CE19" i="29"/>
  <c r="FB19" i="29"/>
  <c r="CE31" i="29"/>
  <c r="DW36" i="29"/>
  <c r="CG23" i="29"/>
  <c r="CE23" i="29"/>
  <c r="DA22" i="29"/>
  <c r="FB20" i="29"/>
  <c r="DA16" i="29"/>
  <c r="FB23" i="29"/>
  <c r="DA19" i="29"/>
  <c r="CG14" i="29"/>
  <c r="FD34" i="29"/>
  <c r="DA33" i="29"/>
  <c r="FB15" i="29"/>
  <c r="FB21" i="29"/>
  <c r="FB26" i="29"/>
  <c r="DW29" i="29"/>
  <c r="FB32" i="29"/>
  <c r="DC32" i="29"/>
  <c r="FB22" i="29"/>
  <c r="DA31" i="29"/>
  <c r="FC38" i="29"/>
  <c r="J52" i="27"/>
  <c r="U55" i="27"/>
  <c r="K52" i="27"/>
  <c r="B52" i="27" s="1"/>
  <c r="DA35" i="29"/>
  <c r="DW27" i="29"/>
  <c r="FD16" i="29"/>
  <c r="K85" i="27"/>
  <c r="B85" i="27" s="1"/>
  <c r="J85" i="27"/>
  <c r="DW19" i="29"/>
  <c r="FB30" i="29"/>
  <c r="FB27" i="29"/>
  <c r="CG16" i="29"/>
  <c r="DA26" i="29"/>
  <c r="FD32" i="29"/>
  <c r="FD31" i="29"/>
  <c r="CG20" i="29"/>
  <c r="FD33" i="29"/>
  <c r="DB28" i="29"/>
  <c r="CE36" i="29"/>
  <c r="CE33" i="29"/>
  <c r="CG21" i="29"/>
  <c r="FD24" i="29"/>
  <c r="CE18" i="29"/>
  <c r="DA24" i="29"/>
  <c r="DA32" i="29"/>
  <c r="DB16" i="29"/>
  <c r="DC16" i="29" s="1"/>
  <c r="DW14" i="29"/>
  <c r="CE37" i="29"/>
  <c r="CG25" i="29"/>
  <c r="FD30" i="29"/>
  <c r="X80" i="44"/>
  <c r="E83" i="27" a="1"/>
  <c r="AD114" i="44"/>
  <c r="U114" i="44" a="1"/>
  <c r="AB94" i="44"/>
  <c r="AE107" i="44"/>
  <c r="AF107" i="44"/>
  <c r="AB80" i="44"/>
  <c r="AC94" i="44"/>
  <c r="W94" i="44"/>
  <c r="AC80" i="44"/>
  <c r="T94" i="44" a="1"/>
  <c r="G99" i="27" a="1"/>
  <c r="Y107" i="44" a="1"/>
  <c r="Y80" i="44" a="1"/>
  <c r="AE80" i="44"/>
  <c r="X107" i="44"/>
  <c r="X94" i="44"/>
  <c r="W107" i="44"/>
  <c r="W80" i="44"/>
  <c r="AF94" i="44"/>
  <c r="AB107" i="44"/>
  <c r="AE94" i="44"/>
  <c r="Y94" i="44" a="1"/>
  <c r="AA114" i="44"/>
  <c r="AC107" i="44"/>
  <c r="V114" i="44"/>
  <c r="AF80" i="44"/>
  <c r="T107" i="44" a="1"/>
  <c r="E91" i="27" a="1"/>
  <c r="Z114" i="44" a="1"/>
  <c r="T80" i="44" a="1"/>
  <c r="O13" i="38" l="1"/>
  <c r="Q18" i="38"/>
  <c r="O26" i="38"/>
  <c r="O20" i="38"/>
  <c r="Q13" i="38"/>
  <c r="Q19" i="38"/>
  <c r="O16" i="38"/>
  <c r="O12" i="38"/>
  <c r="O37" i="38"/>
  <c r="O14" i="38"/>
  <c r="W29" i="39"/>
  <c r="W21" i="39"/>
  <c r="W28" i="39"/>
  <c r="W31" i="39"/>
  <c r="W37" i="39"/>
  <c r="W42" i="39"/>
  <c r="W22" i="39"/>
  <c r="W23" i="39"/>
  <c r="W25" i="39"/>
  <c r="W19" i="39"/>
  <c r="W18" i="39"/>
  <c r="W15" i="39"/>
  <c r="W16" i="39"/>
  <c r="W33" i="39"/>
  <c r="W17" i="39"/>
  <c r="W38" i="39"/>
  <c r="W36" i="39"/>
  <c r="W32" i="39"/>
  <c r="W30" i="39"/>
  <c r="W24" i="39"/>
  <c r="W39" i="39"/>
  <c r="W20" i="39"/>
  <c r="W34" i="39"/>
  <c r="W40" i="39"/>
  <c r="W14" i="39"/>
  <c r="W26" i="39"/>
  <c r="W13" i="39"/>
  <c r="W27" i="39"/>
  <c r="W41" i="39"/>
  <c r="W35" i="39"/>
  <c r="T94" i="44"/>
  <c r="Y107" i="44"/>
  <c r="U114" i="44"/>
  <c r="Z114" i="44"/>
  <c r="G99" i="27"/>
  <c r="F152" i="45"/>
  <c r="N58" i="45"/>
  <c r="G58" i="45"/>
  <c r="F100" i="45"/>
  <c r="Q38" i="38"/>
  <c r="Q31" i="38"/>
  <c r="Q15" i="38"/>
  <c r="O24" i="38"/>
  <c r="Q29" i="38"/>
  <c r="O36" i="38"/>
  <c r="O40" i="38"/>
  <c r="O17" i="38"/>
  <c r="O34" i="38"/>
  <c r="Q12" i="38"/>
  <c r="O30" i="38"/>
  <c r="O27" i="38"/>
  <c r="Q35" i="38"/>
  <c r="Q25" i="38"/>
  <c r="Q32" i="38"/>
  <c r="O11" i="38"/>
  <c r="Y94" i="44"/>
  <c r="M11" i="38"/>
  <c r="T80" i="44"/>
  <c r="Y80" i="44"/>
  <c r="T107" i="44"/>
  <c r="M13" i="38"/>
  <c r="BB18" i="29"/>
  <c r="E91" i="27"/>
  <c r="E83" i="27"/>
  <c r="BB36" i="29"/>
  <c r="BD15" i="29"/>
  <c r="BB31" i="29"/>
  <c r="BD19" i="29"/>
  <c r="BB24" i="29"/>
  <c r="BD13" i="29"/>
  <c r="BB16" i="29"/>
  <c r="BD20" i="29"/>
  <c r="BB17" i="29"/>
  <c r="BD35" i="29"/>
  <c r="BB32" i="29"/>
  <c r="BD36" i="29"/>
  <c r="BD14" i="29"/>
  <c r="BB21" i="29"/>
  <c r="BD17" i="29"/>
  <c r="BD26" i="29"/>
  <c r="BD31" i="29"/>
  <c r="BB30" i="29"/>
  <c r="BB25" i="29"/>
  <c r="BB13" i="29"/>
  <c r="BB33" i="29"/>
  <c r="BD21" i="29"/>
  <c r="BB14" i="29"/>
  <c r="BB19" i="29"/>
  <c r="BB23" i="29"/>
  <c r="BB20" i="29"/>
  <c r="BD22" i="29"/>
  <c r="BD27" i="29"/>
  <c r="BB27" i="29"/>
  <c r="BD23" i="29"/>
  <c r="BD37" i="29"/>
  <c r="BD16" i="29"/>
  <c r="BB26" i="29"/>
  <c r="BB28" i="29"/>
  <c r="BD18" i="29"/>
  <c r="BD25" i="29"/>
  <c r="BD24" i="29"/>
  <c r="C60" i="29"/>
  <c r="BB37" i="29"/>
  <c r="BD33" i="29"/>
  <c r="BD28" i="29"/>
  <c r="BB34" i="29"/>
  <c r="BD29" i="29"/>
  <c r="BB22" i="29"/>
  <c r="BD32" i="29"/>
  <c r="BD34" i="29"/>
  <c r="BD30" i="29"/>
  <c r="BB15" i="29"/>
  <c r="BB35" i="29"/>
  <c r="BB29" i="29"/>
  <c r="Q28" i="38"/>
  <c r="O38" i="38"/>
  <c r="O18" i="38"/>
  <c r="Q17" i="38"/>
  <c r="Q21" i="38"/>
  <c r="Q37" i="38"/>
  <c r="O29" i="38"/>
  <c r="Q23" i="38"/>
  <c r="Q24" i="38"/>
  <c r="O19" i="38"/>
  <c r="Q20" i="38"/>
  <c r="O39" i="38"/>
  <c r="Q22" i="38"/>
  <c r="BE34" i="42"/>
  <c r="BG40" i="42"/>
  <c r="BA41" i="43"/>
  <c r="X39" i="38" s="1"/>
  <c r="BE29" i="42"/>
  <c r="BE23" i="42"/>
  <c r="BE36" i="42"/>
  <c r="BA14" i="43"/>
  <c r="X12" i="38" s="1"/>
  <c r="BE20" i="42"/>
  <c r="BE39" i="42"/>
  <c r="BE19" i="42"/>
  <c r="BE35" i="42"/>
  <c r="BC17" i="43"/>
  <c r="Z15" i="38" s="1"/>
  <c r="BE30" i="42"/>
  <c r="BE27" i="42"/>
  <c r="BE33" i="42"/>
  <c r="BG27" i="42"/>
  <c r="BE13" i="42"/>
  <c r="BE21" i="42"/>
  <c r="BE24" i="42"/>
  <c r="BE25" i="42"/>
  <c r="BC16" i="43"/>
  <c r="Z14" i="38" s="1"/>
  <c r="BC37" i="43"/>
  <c r="Z35" i="38" s="1"/>
  <c r="M16" i="38"/>
  <c r="AX21" i="40"/>
  <c r="N16" i="38" s="1"/>
  <c r="K29" i="38"/>
  <c r="BC18" i="43"/>
  <c r="Z16" i="38" s="1"/>
  <c r="BG28" i="42"/>
  <c r="BA39" i="43"/>
  <c r="BG15" i="42"/>
  <c r="BA31" i="43"/>
  <c r="V6" i="39"/>
  <c r="AX20" i="40"/>
  <c r="N15" i="38" s="1"/>
  <c r="M15" i="38"/>
  <c r="AX36" i="40"/>
  <c r="N31" i="38" s="1"/>
  <c r="K11" i="38"/>
  <c r="BG17" i="42"/>
  <c r="BC38" i="43"/>
  <c r="Z36" i="38" s="1"/>
  <c r="BE17" i="42"/>
  <c r="BG37" i="42"/>
  <c r="AX35" i="40"/>
  <c r="N30" i="38" s="1"/>
  <c r="BC20" i="43"/>
  <c r="Z18" i="38" s="1"/>
  <c r="AX45" i="40"/>
  <c r="N40" i="38" s="1"/>
  <c r="BE26" i="42"/>
  <c r="BC21" i="43"/>
  <c r="Z19" i="38" s="1"/>
  <c r="BG26" i="42"/>
  <c r="BE14" i="42"/>
  <c r="AX44" i="40"/>
  <c r="N39" i="38" s="1"/>
  <c r="AX28" i="40"/>
  <c r="N23" i="38" s="1"/>
  <c r="BE31" i="42"/>
  <c r="BE41" i="42"/>
  <c r="BA30" i="43"/>
  <c r="W28" i="38"/>
  <c r="AX25" i="40"/>
  <c r="N20" i="38" s="1"/>
  <c r="M20" i="38"/>
  <c r="BC35" i="43"/>
  <c r="Z33" i="38" s="1"/>
  <c r="BA35" i="43"/>
  <c r="W33" i="38"/>
  <c r="AX38" i="40"/>
  <c r="N33" i="38" s="1"/>
  <c r="K35" i="38"/>
  <c r="BA18" i="43"/>
  <c r="W16" i="38"/>
  <c r="BC31" i="43"/>
  <c r="Z29" i="38" s="1"/>
  <c r="BA37" i="43"/>
  <c r="W35" i="38"/>
  <c r="U33" i="38"/>
  <c r="BC24" i="43"/>
  <c r="Z22" i="38" s="1"/>
  <c r="BG16" i="42"/>
  <c r="BG41" i="42"/>
  <c r="BC32" i="43"/>
  <c r="Z30" i="38" s="1"/>
  <c r="K34" i="38"/>
  <c r="BC15" i="43"/>
  <c r="Y13" i="38"/>
  <c r="BC28" i="43"/>
  <c r="Z26" i="38" s="1"/>
  <c r="Y26" i="38"/>
  <c r="BE37" i="42"/>
  <c r="S35" i="38"/>
  <c r="BA13" i="43"/>
  <c r="W11" i="38"/>
  <c r="BG13" i="42"/>
  <c r="U11" i="38"/>
  <c r="BA17" i="43"/>
  <c r="BC30" i="43"/>
  <c r="Z28" i="38" s="1"/>
  <c r="BA26" i="43"/>
  <c r="AX24" i="40"/>
  <c r="N19" i="38" s="1"/>
  <c r="K26" i="38"/>
  <c r="BA20" i="43"/>
  <c r="W18" i="38"/>
  <c r="BC26" i="43"/>
  <c r="Z24" i="38" s="1"/>
  <c r="BA16" i="43"/>
  <c r="BA22" i="43"/>
  <c r="BG36" i="42"/>
  <c r="K22" i="38"/>
  <c r="AX33" i="40"/>
  <c r="N28" i="38" s="1"/>
  <c r="M28" i="38"/>
  <c r="BA38" i="43"/>
  <c r="AX37" i="40"/>
  <c r="M32" i="38"/>
  <c r="BA19" i="43"/>
  <c r="BE32" i="42"/>
  <c r="S30" i="38"/>
  <c r="K21" i="38"/>
  <c r="BA33" i="43"/>
  <c r="BC42" i="43"/>
  <c r="Z40" i="38" s="1"/>
  <c r="AX40" i="40"/>
  <c r="N35" i="38" s="1"/>
  <c r="BE28" i="42"/>
  <c r="BC19" i="43"/>
  <c r="Z17" i="38" s="1"/>
  <c r="AX30" i="40"/>
  <c r="N25" i="38" s="1"/>
  <c r="M25" i="38"/>
  <c r="BA36" i="43"/>
  <c r="BG20" i="42"/>
  <c r="K23" i="38"/>
  <c r="AX26" i="40"/>
  <c r="N21" i="38" s="1"/>
  <c r="M21" i="38"/>
  <c r="BA25" i="43"/>
  <c r="AX16" i="40"/>
  <c r="BA21" i="43"/>
  <c r="AX17" i="40"/>
  <c r="N12" i="38" s="1"/>
  <c r="BC34" i="43"/>
  <c r="BG25" i="42"/>
  <c r="K15" i="38"/>
  <c r="K31" i="38"/>
  <c r="K19" i="38"/>
  <c r="BA40" i="43"/>
  <c r="W38" i="38"/>
  <c r="BC41" i="43"/>
  <c r="Z39" i="38" s="1"/>
  <c r="Y39" i="38"/>
  <c r="BA32" i="43"/>
  <c r="W30" i="38"/>
  <c r="K16" i="38"/>
  <c r="BG22" i="42"/>
  <c r="BE16" i="42"/>
  <c r="BA15" i="43"/>
  <c r="BC39" i="43"/>
  <c r="Z37" i="38" s="1"/>
  <c r="Y37" i="38"/>
  <c r="BG19" i="42"/>
  <c r="U17" i="38"/>
  <c r="BA29" i="43"/>
  <c r="BC27" i="43"/>
  <c r="Z25" i="38" s="1"/>
  <c r="Y25" i="38"/>
  <c r="BA24" i="43"/>
  <c r="BG39" i="42"/>
  <c r="K17" i="38"/>
  <c r="AX39" i="40"/>
  <c r="M34" i="38"/>
  <c r="BG18" i="42"/>
  <c r="BG42" i="42"/>
  <c r="BA27" i="43"/>
  <c r="BA42" i="43"/>
  <c r="BG31" i="42"/>
  <c r="BC29" i="43"/>
  <c r="Z27" i="38" s="1"/>
  <c r="AX22" i="40"/>
  <c r="N17" i="38" s="1"/>
  <c r="AX34" i="40"/>
  <c r="N29" i="38" s="1"/>
  <c r="M29" i="38"/>
  <c r="K37" i="38"/>
  <c r="BC33" i="43"/>
  <c r="Z31" i="38" s="1"/>
  <c r="K18" i="38"/>
  <c r="BE42" i="42"/>
  <c r="S40" i="38"/>
  <c r="BC36" i="43"/>
  <c r="BG30" i="42"/>
  <c r="AX18" i="40"/>
  <c r="BG38" i="42"/>
  <c r="U36" i="38"/>
  <c r="BA34" i="43"/>
  <c r="W32" i="38"/>
  <c r="BC13" i="43"/>
  <c r="BG24" i="42"/>
  <c r="BC23" i="43"/>
  <c r="Z21" i="38" s="1"/>
  <c r="BG29" i="42"/>
  <c r="AX29" i="40"/>
  <c r="N24" i="38" s="1"/>
  <c r="AX31" i="40"/>
  <c r="N26" i="38" s="1"/>
  <c r="M26" i="38"/>
  <c r="AX27" i="40"/>
  <c r="N22" i="38" s="1"/>
  <c r="M22" i="38"/>
  <c r="BE22" i="42"/>
  <c r="S20" i="38"/>
  <c r="BG34" i="42"/>
  <c r="AX19" i="40"/>
  <c r="N14" i="38" s="1"/>
  <c r="BC14" i="43"/>
  <c r="Z12" i="38" s="1"/>
  <c r="AX43" i="40"/>
  <c r="N38" i="38" s="1"/>
  <c r="BA23" i="43"/>
  <c r="BG33" i="42"/>
  <c r="K30" i="38"/>
  <c r="BG14" i="42"/>
  <c r="BG21" i="42"/>
  <c r="U19" i="38"/>
  <c r="K12" i="38"/>
  <c r="AX41" i="40"/>
  <c r="N36" i="38" s="1"/>
  <c r="AX32" i="40"/>
  <c r="N27" i="38" s="1"/>
  <c r="M27" i="38"/>
  <c r="AX42" i="40"/>
  <c r="N37" i="38" s="1"/>
  <c r="M37" i="38"/>
  <c r="BE40" i="42"/>
  <c r="AX23" i="40"/>
  <c r="N18" i="38" s="1"/>
  <c r="M18" i="38"/>
  <c r="BE18" i="42"/>
  <c r="S16" i="38"/>
  <c r="BG23" i="42"/>
  <c r="U21" i="38"/>
  <c r="K20" i="38"/>
  <c r="BC22" i="43"/>
  <c r="Z20" i="38" s="1"/>
  <c r="BG32" i="42"/>
  <c r="BC40" i="43"/>
  <c r="Z38" i="38" s="1"/>
  <c r="BC25" i="43"/>
  <c r="Z23" i="38" s="1"/>
  <c r="BA28" i="43"/>
  <c r="BE15" i="42"/>
  <c r="BE38" i="42"/>
  <c r="K64" i="27"/>
  <c r="B64" i="27" s="1"/>
  <c r="J64" i="27"/>
  <c r="DC33" i="29"/>
  <c r="DC31" i="29"/>
  <c r="K80" i="27"/>
  <c r="B80" i="27" s="1"/>
  <c r="J80" i="27"/>
  <c r="DC22" i="29"/>
  <c r="DC17" i="29"/>
  <c r="DC27" i="29"/>
  <c r="DC36" i="29"/>
  <c r="B79" i="29"/>
  <c r="DC24" i="29"/>
  <c r="DC35" i="29"/>
  <c r="DC30" i="29"/>
  <c r="DC25" i="29"/>
  <c r="K55" i="27"/>
  <c r="B55" i="27" s="1"/>
  <c r="J55" i="27"/>
  <c r="U58" i="27"/>
  <c r="DC34" i="29"/>
  <c r="DC29" i="29"/>
  <c r="K86" i="27"/>
  <c r="B86" i="27" s="1"/>
  <c r="J86" i="27"/>
  <c r="J98" i="27"/>
  <c r="K98" i="27"/>
  <c r="B98" i="27" s="1"/>
  <c r="DC19" i="29"/>
  <c r="DC14" i="29"/>
  <c r="DC26" i="29"/>
  <c r="DC15" i="29"/>
  <c r="DC28" i="29"/>
  <c r="DC18" i="29"/>
  <c r="DC23" i="29"/>
  <c r="K56" i="27"/>
  <c r="B56" i="27" s="1"/>
  <c r="J56" i="27"/>
  <c r="DC37" i="29"/>
  <c r="DB40" i="29"/>
  <c r="E35" i="27" a="1"/>
  <c r="AA80" i="44"/>
  <c r="V80" i="44"/>
  <c r="D88" i="29"/>
  <c r="D96" i="29"/>
  <c r="E101" i="29"/>
  <c r="AC115" i="44"/>
  <c r="D92" i="29"/>
  <c r="D89" i="29"/>
  <c r="D74" i="29"/>
  <c r="E75" i="29"/>
  <c r="D87" i="29"/>
  <c r="D81" i="29"/>
  <c r="D82" i="29"/>
  <c r="E86" i="29"/>
  <c r="Z80" i="44" a="1"/>
  <c r="AF115" i="44"/>
  <c r="E85" i="29"/>
  <c r="E102" i="29"/>
  <c r="T115" i="44" a="1"/>
  <c r="D78" i="29"/>
  <c r="E88" i="29"/>
  <c r="E87" i="29"/>
  <c r="E73" i="29"/>
  <c r="D85" i="29"/>
  <c r="E77" i="29"/>
  <c r="D77" i="29"/>
  <c r="E36" i="27" a="1"/>
  <c r="W115" i="44"/>
  <c r="E90" i="29"/>
  <c r="E99" i="29"/>
  <c r="AA94" i="44"/>
  <c r="D91" i="29"/>
  <c r="G80" i="27" a="1"/>
  <c r="E91" i="29"/>
  <c r="U80" i="44" a="1"/>
  <c r="E37" i="27" a="1"/>
  <c r="AB115" i="44"/>
  <c r="D99" i="29"/>
  <c r="E81" i="29"/>
  <c r="E79" i="29"/>
  <c r="AA107" i="44"/>
  <c r="Z107" i="44" a="1"/>
  <c r="D102" i="29"/>
  <c r="D86" i="29"/>
  <c r="D80" i="29"/>
  <c r="D79" i="29"/>
  <c r="E89" i="29"/>
  <c r="E80" i="29"/>
  <c r="E84" i="29"/>
  <c r="D97" i="29"/>
  <c r="D101" i="29"/>
  <c r="AE115" i="44"/>
  <c r="D98" i="29"/>
  <c r="E92" i="29"/>
  <c r="D83" i="29"/>
  <c r="D93" i="29"/>
  <c r="E82" i="29"/>
  <c r="AD80" i="44"/>
  <c r="D76" i="29"/>
  <c r="D75" i="29"/>
  <c r="E95" i="29"/>
  <c r="Y115" i="44" a="1"/>
  <c r="AD107" i="44"/>
  <c r="G68" i="27" a="1"/>
  <c r="Z94" i="44" a="1"/>
  <c r="G91" i="27" a="1"/>
  <c r="D100" i="29"/>
  <c r="V94" i="44"/>
  <c r="D94" i="29"/>
  <c r="E74" i="29"/>
  <c r="D90" i="29"/>
  <c r="E76" i="29"/>
  <c r="E100" i="27" a="1"/>
  <c r="U94" i="44" a="1"/>
  <c r="E96" i="29"/>
  <c r="U107" i="44" a="1"/>
  <c r="E100" i="29"/>
  <c r="G83" i="27" a="1"/>
  <c r="E94" i="29"/>
  <c r="X115" i="44"/>
  <c r="G72" i="27" a="1"/>
  <c r="D84" i="29"/>
  <c r="D95" i="29"/>
  <c r="E98" i="29"/>
  <c r="E78" i="29"/>
  <c r="E93" i="29"/>
  <c r="E83" i="29"/>
  <c r="E97" i="29"/>
  <c r="V107" i="44"/>
  <c r="AD94" i="44"/>
  <c r="M58" i="45" l="1"/>
  <c r="E152" i="45"/>
  <c r="E100" i="45"/>
  <c r="F58" i="45"/>
  <c r="T115" i="44"/>
  <c r="K62" i="45"/>
  <c r="K59" i="45"/>
  <c r="K50" i="45"/>
  <c r="D62" i="45"/>
  <c r="D59" i="45"/>
  <c r="D50" i="45"/>
  <c r="U94" i="44"/>
  <c r="M31" i="44" s="1"/>
  <c r="Z94" i="44"/>
  <c r="Y115" i="44"/>
  <c r="Z107" i="44"/>
  <c r="Z80" i="44"/>
  <c r="U107" i="44"/>
  <c r="M30" i="44" s="1"/>
  <c r="U80" i="44"/>
  <c r="M32" i="44" s="1"/>
  <c r="Q11" i="38"/>
  <c r="N11" i="38"/>
  <c r="Z11" i="38"/>
  <c r="Q34" i="38"/>
  <c r="Z34" i="38"/>
  <c r="N34" i="38"/>
  <c r="Z13" i="38"/>
  <c r="N13" i="38"/>
  <c r="T21" i="38"/>
  <c r="T11" i="38"/>
  <c r="T17" i="38"/>
  <c r="T37" i="38"/>
  <c r="T18" i="38"/>
  <c r="T34" i="38"/>
  <c r="T31" i="38"/>
  <c r="T27" i="38"/>
  <c r="T25" i="38"/>
  <c r="T23" i="38"/>
  <c r="T28" i="38"/>
  <c r="V36" i="38"/>
  <c r="V17" i="38"/>
  <c r="V39" i="38"/>
  <c r="V29" i="38"/>
  <c r="V14" i="38"/>
  <c r="V28" i="38"/>
  <c r="V23" i="38"/>
  <c r="V38" i="38"/>
  <c r="V19" i="38"/>
  <c r="V27" i="38"/>
  <c r="V34" i="38"/>
  <c r="V24" i="38"/>
  <c r="V18" i="38"/>
  <c r="V13" i="38"/>
  <c r="V30" i="38"/>
  <c r="V11" i="38"/>
  <c r="V12" i="38"/>
  <c r="V35" i="38"/>
  <c r="V40" i="38"/>
  <c r="V20" i="38"/>
  <c r="V15" i="38"/>
  <c r="V16" i="38"/>
  <c r="V33" i="38"/>
  <c r="V26" i="38"/>
  <c r="V21" i="38"/>
  <c r="V37" i="38"/>
  <c r="V31" i="38"/>
  <c r="V25" i="38"/>
  <c r="V22" i="38"/>
  <c r="E35" i="27"/>
  <c r="E36" i="27"/>
  <c r="E37" i="27"/>
  <c r="E100" i="27"/>
  <c r="O32" i="38"/>
  <c r="G72" i="27"/>
  <c r="G83" i="27"/>
  <c r="T32" i="38"/>
  <c r="BC31" i="29"/>
  <c r="FE31" i="29" s="1"/>
  <c r="BC29" i="29"/>
  <c r="FE29" i="29" s="1"/>
  <c r="BE36" i="29"/>
  <c r="FG36" i="29" s="1"/>
  <c r="BC19" i="29"/>
  <c r="FE19" i="29" s="1"/>
  <c r="BE15" i="29"/>
  <c r="FG15" i="29" s="1"/>
  <c r="BE28" i="29"/>
  <c r="FG28" i="29" s="1"/>
  <c r="BE14" i="29"/>
  <c r="FG14" i="29" s="1"/>
  <c r="BD39" i="29"/>
  <c r="BC22" i="29"/>
  <c r="FE22" i="29" s="1"/>
  <c r="BE17" i="29"/>
  <c r="FG17" i="29" s="1"/>
  <c r="BE18" i="29"/>
  <c r="FG18" i="29" s="1"/>
  <c r="G91" i="27"/>
  <c r="Z32" i="38"/>
  <c r="G80" i="27"/>
  <c r="V32" i="38"/>
  <c r="BC23" i="29"/>
  <c r="FE23" i="29" s="1"/>
  <c r="BB38" i="29"/>
  <c r="BE22" i="29"/>
  <c r="FG22" i="29" s="1"/>
  <c r="BE33" i="29"/>
  <c r="FG33" i="29" s="1"/>
  <c r="BC35" i="29"/>
  <c r="FE35" i="29" s="1"/>
  <c r="BE29" i="29"/>
  <c r="FG29" i="29" s="1"/>
  <c r="BE26" i="29"/>
  <c r="FG26" i="29" s="1"/>
  <c r="BE34" i="29"/>
  <c r="FG34" i="29" s="1"/>
  <c r="BE30" i="29"/>
  <c r="FG30" i="29" s="1"/>
  <c r="BC28" i="29"/>
  <c r="FE28" i="29" s="1"/>
  <c r="BE27" i="29"/>
  <c r="FG27" i="29" s="1"/>
  <c r="BC15" i="29"/>
  <c r="FE15" i="29" s="1"/>
  <c r="BE35" i="29"/>
  <c r="FG35" i="29" s="1"/>
  <c r="BC24" i="29"/>
  <c r="FE24" i="29" s="1"/>
  <c r="BC20" i="29"/>
  <c r="FE20" i="29" s="1"/>
  <c r="BC25" i="29"/>
  <c r="FE25" i="29" s="1"/>
  <c r="BC26" i="29"/>
  <c r="FE26" i="29" s="1"/>
  <c r="BE23" i="29"/>
  <c r="FG23" i="29" s="1"/>
  <c r="BE20" i="29"/>
  <c r="FG20" i="29" s="1"/>
  <c r="BC32" i="29"/>
  <c r="FE32" i="29" s="1"/>
  <c r="BC21" i="29"/>
  <c r="FE21" i="29" s="1"/>
  <c r="BC34" i="29"/>
  <c r="FE34" i="29" s="1"/>
  <c r="BD40" i="29"/>
  <c r="BE31" i="29"/>
  <c r="FG31" i="29" s="1"/>
  <c r="BC14" i="29"/>
  <c r="FE14" i="29" s="1"/>
  <c r="BE37" i="29"/>
  <c r="FG37" i="29" s="1"/>
  <c r="BE13" i="29"/>
  <c r="FG13" i="29" s="1"/>
  <c r="BC27" i="29"/>
  <c r="FE27" i="29" s="1"/>
  <c r="BC16" i="29"/>
  <c r="FE16" i="29" s="1"/>
  <c r="BE24" i="29"/>
  <c r="FG24" i="29" s="1"/>
  <c r="BE16" i="29"/>
  <c r="FG16" i="29" s="1"/>
  <c r="BC37" i="29"/>
  <c r="FE37" i="29" s="1"/>
  <c r="BE25" i="29"/>
  <c r="FG25" i="29" s="1"/>
  <c r="BC36" i="29"/>
  <c r="FE36" i="29" s="1"/>
  <c r="BC30" i="29"/>
  <c r="FE30" i="29" s="1"/>
  <c r="BC13" i="29"/>
  <c r="FE13" i="29" s="1"/>
  <c r="BE21" i="29"/>
  <c r="FG21" i="29" s="1"/>
  <c r="BE32" i="29"/>
  <c r="FG32" i="29" s="1"/>
  <c r="BC18" i="29"/>
  <c r="FE18" i="29" s="1"/>
  <c r="BD38" i="29"/>
  <c r="BC33" i="29"/>
  <c r="FE33" i="29" s="1"/>
  <c r="BB39" i="29"/>
  <c r="BE19" i="29"/>
  <c r="FG19" i="29" s="1"/>
  <c r="BC17" i="29"/>
  <c r="FE17" i="29" s="1"/>
  <c r="BB40" i="29"/>
  <c r="G68" i="27"/>
  <c r="N32" i="38"/>
  <c r="BH21" i="42"/>
  <c r="BH30" i="42"/>
  <c r="BH35" i="42"/>
  <c r="BH24" i="42"/>
  <c r="BH27" i="42"/>
  <c r="AI19" i="41"/>
  <c r="R18" i="38" s="1"/>
  <c r="T33" i="38"/>
  <c r="BH20" i="42"/>
  <c r="T19" i="38"/>
  <c r="T22" i="38"/>
  <c r="AF43" i="41"/>
  <c r="AH44" i="41"/>
  <c r="AI24" i="41"/>
  <c r="R23" i="38" s="1"/>
  <c r="AI21" i="41"/>
  <c r="R20" i="38" s="1"/>
  <c r="AI13" i="41"/>
  <c r="R12" i="38" s="1"/>
  <c r="BD14" i="43"/>
  <c r="AI38" i="41"/>
  <c r="R37" i="38" s="1"/>
  <c r="AI23" i="41"/>
  <c r="R22" i="38" s="1"/>
  <c r="BH34" i="42"/>
  <c r="AI26" i="41"/>
  <c r="R25" i="38" s="1"/>
  <c r="AH43" i="41"/>
  <c r="AG37" i="41"/>
  <c r="P36" i="38" s="1"/>
  <c r="AI36" i="41"/>
  <c r="R35" i="38" s="1"/>
  <c r="AI12" i="41"/>
  <c r="AY44" i="40"/>
  <c r="L39" i="38"/>
  <c r="AY24" i="40"/>
  <c r="L19" i="38"/>
  <c r="BH41" i="42"/>
  <c r="T39" i="38"/>
  <c r="AG22" i="41"/>
  <c r="O21" i="38"/>
  <c r="AG38" i="41"/>
  <c r="AG32" i="41"/>
  <c r="O31" i="38"/>
  <c r="AY19" i="40"/>
  <c r="L14" i="38"/>
  <c r="BD36" i="43"/>
  <c r="X34" i="38"/>
  <c r="AF44" i="41"/>
  <c r="BH38" i="42"/>
  <c r="T36" i="38"/>
  <c r="BD28" i="43"/>
  <c r="X26" i="38"/>
  <c r="AY38" i="40"/>
  <c r="L33" i="38"/>
  <c r="BD27" i="43"/>
  <c r="X25" i="38"/>
  <c r="L16" i="38"/>
  <c r="AY21" i="40"/>
  <c r="AY16" i="40"/>
  <c r="L11" i="38"/>
  <c r="AI16" i="41"/>
  <c r="R15" i="38" s="1"/>
  <c r="AY26" i="40"/>
  <c r="L21" i="38"/>
  <c r="AY36" i="40"/>
  <c r="L31" i="38"/>
  <c r="BD26" i="43"/>
  <c r="X24" i="38"/>
  <c r="L28" i="38"/>
  <c r="AY33" i="40"/>
  <c r="BD17" i="43"/>
  <c r="X15" i="38"/>
  <c r="AG13" i="41"/>
  <c r="BH36" i="42"/>
  <c r="AY32" i="40"/>
  <c r="L27" i="38"/>
  <c r="AY20" i="40"/>
  <c r="L15" i="38"/>
  <c r="BD19" i="43"/>
  <c r="X17" i="38"/>
  <c r="AY37" i="40"/>
  <c r="L32" i="38"/>
  <c r="AG14" i="41"/>
  <c r="AI29" i="41"/>
  <c r="R28" i="38" s="1"/>
  <c r="AI27" i="41"/>
  <c r="R26" i="38" s="1"/>
  <c r="Q26" i="38"/>
  <c r="BH15" i="42"/>
  <c r="T13" i="38"/>
  <c r="BD42" i="43"/>
  <c r="X40" i="38"/>
  <c r="BH19" i="42"/>
  <c r="X11" i="38"/>
  <c r="BD13" i="43"/>
  <c r="AG16" i="41"/>
  <c r="O15" i="38"/>
  <c r="AG35" i="41"/>
  <c r="Q36" i="38"/>
  <c r="AI37" i="41"/>
  <c r="R36" i="38" s="1"/>
  <c r="AI14" i="41"/>
  <c r="X36" i="38"/>
  <c r="BD38" i="43"/>
  <c r="BH37" i="42"/>
  <c r="T35" i="38"/>
  <c r="L29" i="38"/>
  <c r="AY34" i="40"/>
  <c r="BH23" i="42"/>
  <c r="AY35" i="40"/>
  <c r="L30" i="38"/>
  <c r="AY39" i="40"/>
  <c r="L34" i="38"/>
  <c r="BD16" i="43"/>
  <c r="X14" i="38"/>
  <c r="BH16" i="42"/>
  <c r="T14" i="38"/>
  <c r="AI22" i="41"/>
  <c r="R21" i="38" s="1"/>
  <c r="BH33" i="42"/>
  <c r="BD32" i="43"/>
  <c r="X30" i="38"/>
  <c r="BH39" i="42"/>
  <c r="AI41" i="41"/>
  <c r="R40" i="38" s="1"/>
  <c r="Q40" i="38"/>
  <c r="BD35" i="43"/>
  <c r="X33" i="38"/>
  <c r="AY42" i="40"/>
  <c r="L37" i="38"/>
  <c r="AY43" i="40"/>
  <c r="L38" i="38"/>
  <c r="AG39" i="41"/>
  <c r="BH31" i="42"/>
  <c r="T29" i="38"/>
  <c r="BD18" i="43"/>
  <c r="X16" i="38"/>
  <c r="AI28" i="41"/>
  <c r="R27" i="38" s="1"/>
  <c r="Q27" i="38"/>
  <c r="BD39" i="43"/>
  <c r="X37" i="38"/>
  <c r="AG28" i="41"/>
  <c r="AI25" i="41"/>
  <c r="R24" i="38" s="1"/>
  <c r="BD22" i="43"/>
  <c r="X20" i="38"/>
  <c r="AI31" i="41"/>
  <c r="R30" i="38" s="1"/>
  <c r="Q30" i="38"/>
  <c r="AG18" i="41"/>
  <c r="AG15" i="41"/>
  <c r="BD41" i="43"/>
  <c r="BD31" i="43"/>
  <c r="X29" i="38"/>
  <c r="BH40" i="42"/>
  <c r="T38" i="38"/>
  <c r="AI35" i="41"/>
  <c r="BH17" i="42"/>
  <c r="T15" i="38"/>
  <c r="AI39" i="41"/>
  <c r="R38" i="38" s="1"/>
  <c r="BH25" i="42"/>
  <c r="AG25" i="41"/>
  <c r="AY30" i="40"/>
  <c r="L25" i="38"/>
  <c r="AG19" i="41"/>
  <c r="AI17" i="41"/>
  <c r="R16" i="38" s="1"/>
  <c r="Q16" i="38"/>
  <c r="AG26" i="41"/>
  <c r="O25" i="38"/>
  <c r="BH14" i="42"/>
  <c r="T12" i="38"/>
  <c r="AG17" i="41"/>
  <c r="AI40" i="41"/>
  <c r="R39" i="38" s="1"/>
  <c r="Q39" i="38"/>
  <c r="BH26" i="42"/>
  <c r="T24" i="38"/>
  <c r="V3" i="39"/>
  <c r="AG20" i="41"/>
  <c r="AG33" i="41"/>
  <c r="AG21" i="41"/>
  <c r="BH29" i="42"/>
  <c r="AY31" i="40"/>
  <c r="L26" i="38"/>
  <c r="AY28" i="40"/>
  <c r="L23" i="38"/>
  <c r="AY45" i="40"/>
  <c r="L40" i="38"/>
  <c r="AY40" i="40"/>
  <c r="L35" i="38"/>
  <c r="AG41" i="41"/>
  <c r="AI20" i="41"/>
  <c r="R19" i="38" s="1"/>
  <c r="BH32" i="42"/>
  <c r="T30" i="38"/>
  <c r="BD24" i="43"/>
  <c r="X22" i="38"/>
  <c r="AY29" i="40"/>
  <c r="L24" i="38"/>
  <c r="BH42" i="42"/>
  <c r="T40" i="38"/>
  <c r="BD29" i="43"/>
  <c r="X27" i="38"/>
  <c r="BH22" i="42"/>
  <c r="T20" i="38"/>
  <c r="AY23" i="40"/>
  <c r="L18" i="38"/>
  <c r="AI34" i="41"/>
  <c r="R33" i="38" s="1"/>
  <c r="Q33" i="38"/>
  <c r="AI30" i="41"/>
  <c r="R29" i="38" s="1"/>
  <c r="AY25" i="40"/>
  <c r="L20" i="38"/>
  <c r="AY22" i="40"/>
  <c r="L17" i="38"/>
  <c r="AG34" i="41"/>
  <c r="O33" i="38"/>
  <c r="BD40" i="43"/>
  <c r="X38" i="38"/>
  <c r="BD25" i="43"/>
  <c r="X23" i="38"/>
  <c r="BH28" i="42"/>
  <c r="T26" i="38"/>
  <c r="BH13" i="42"/>
  <c r="BD37" i="43"/>
  <c r="X35" i="38"/>
  <c r="O23" i="38"/>
  <c r="AG24" i="41"/>
  <c r="W6" i="39"/>
  <c r="W3" i="39" s="1"/>
  <c r="BD33" i="43"/>
  <c r="X31" i="38"/>
  <c r="AG27" i="41"/>
  <c r="BH18" i="42"/>
  <c r="T16" i="38"/>
  <c r="AG36" i="41"/>
  <c r="O35" i="38"/>
  <c r="AY41" i="40"/>
  <c r="L36" i="38"/>
  <c r="AG40" i="41"/>
  <c r="AG23" i="41"/>
  <c r="O22" i="38"/>
  <c r="BD23" i="43"/>
  <c r="X21" i="38"/>
  <c r="BD15" i="43"/>
  <c r="X13" i="38"/>
  <c r="AG29" i="41"/>
  <c r="O28" i="38"/>
  <c r="AI33" i="41"/>
  <c r="AG12" i="41"/>
  <c r="AY17" i="40"/>
  <c r="L12" i="38"/>
  <c r="BD34" i="43"/>
  <c r="X32" i="38"/>
  <c r="L13" i="38"/>
  <c r="AY18" i="40"/>
  <c r="BD21" i="43"/>
  <c r="X19" i="38"/>
  <c r="BD20" i="43"/>
  <c r="X18" i="38"/>
  <c r="AY27" i="40"/>
  <c r="L22" i="38"/>
  <c r="BD30" i="43"/>
  <c r="X28" i="38"/>
  <c r="AI15" i="41"/>
  <c r="R14" i="38" s="1"/>
  <c r="Q14" i="38"/>
  <c r="AG31" i="41"/>
  <c r="AI18" i="41"/>
  <c r="R17" i="38" s="1"/>
  <c r="AI32" i="41"/>
  <c r="R31" i="38" s="1"/>
  <c r="AG30" i="41"/>
  <c r="K99" i="27"/>
  <c r="B99" i="27" s="1"/>
  <c r="J99" i="27"/>
  <c r="B80" i="29"/>
  <c r="K65" i="27"/>
  <c r="B65" i="27" s="1"/>
  <c r="J65" i="27"/>
  <c r="K58" i="27"/>
  <c r="B58" i="27" s="1"/>
  <c r="J58" i="27"/>
  <c r="K87" i="27"/>
  <c r="B87" i="27" s="1"/>
  <c r="J87" i="27"/>
  <c r="D35" i="27" a="1"/>
  <c r="G100" i="27" a="1"/>
  <c r="C36" i="27" a="1"/>
  <c r="V115" i="44"/>
  <c r="Z115" i="44" a="1"/>
  <c r="F36" i="27" a="1"/>
  <c r="D36" i="27" a="1"/>
  <c r="AD115" i="44"/>
  <c r="E73" i="27" a="1"/>
  <c r="E84" i="27" a="1"/>
  <c r="E38" i="27" a="1"/>
  <c r="D37" i="27" a="1"/>
  <c r="C35" i="27" a="1"/>
  <c r="C37" i="27" a="1"/>
  <c r="U115" i="44" a="1"/>
  <c r="F35" i="27" a="1"/>
  <c r="F37" i="27" a="1"/>
  <c r="AA115" i="44"/>
  <c r="J59" i="45" l="1"/>
  <c r="N31" i="44"/>
  <c r="J50" i="45"/>
  <c r="N32" i="44"/>
  <c r="J62" i="45"/>
  <c r="N30" i="44"/>
  <c r="K57" i="45"/>
  <c r="C50" i="45"/>
  <c r="C62" i="45"/>
  <c r="C59" i="45"/>
  <c r="D57" i="45"/>
  <c r="Z115" i="44"/>
  <c r="U115" i="44"/>
  <c r="M29" i="44" s="1"/>
  <c r="R11" i="38"/>
  <c r="R13" i="38"/>
  <c r="R34" i="38"/>
  <c r="F36" i="27"/>
  <c r="F37" i="27"/>
  <c r="D36" i="27"/>
  <c r="D35" i="27"/>
  <c r="D37" i="27"/>
  <c r="C36" i="27"/>
  <c r="F35" i="27"/>
  <c r="C35" i="27"/>
  <c r="E38" i="27"/>
  <c r="C37" i="27"/>
  <c r="E84" i="27"/>
  <c r="E73" i="27"/>
  <c r="FF35" i="29"/>
  <c r="FF25" i="29"/>
  <c r="FF27" i="29"/>
  <c r="FH30" i="29"/>
  <c r="J102" i="27"/>
  <c r="FF17" i="29"/>
  <c r="FF37" i="29"/>
  <c r="FF22" i="29"/>
  <c r="FF33" i="29"/>
  <c r="FF19" i="29"/>
  <c r="FF32" i="29"/>
  <c r="FF30" i="29"/>
  <c r="FF15" i="29"/>
  <c r="K59" i="27"/>
  <c r="B59" i="27" s="1"/>
  <c r="FF29" i="29"/>
  <c r="FF31" i="29"/>
  <c r="FF20" i="29"/>
  <c r="J59" i="27"/>
  <c r="FF34" i="29"/>
  <c r="K102" i="27"/>
  <c r="B102" i="27" s="1"/>
  <c r="FH32" i="29"/>
  <c r="G100" i="27"/>
  <c r="R32" i="38"/>
  <c r="FH15" i="29"/>
  <c r="FH36" i="29"/>
  <c r="FH26" i="29"/>
  <c r="FH37" i="29"/>
  <c r="AJ37" i="41"/>
  <c r="AJ14" i="41"/>
  <c r="P13" i="38"/>
  <c r="P35" i="38"/>
  <c r="AJ36" i="41"/>
  <c r="AJ31" i="41"/>
  <c r="P30" i="38"/>
  <c r="AJ19" i="41"/>
  <c r="P18" i="38"/>
  <c r="AJ13" i="41"/>
  <c r="P12" i="38"/>
  <c r="AJ17" i="41"/>
  <c r="P16" i="38"/>
  <c r="AJ33" i="41"/>
  <c r="P32" i="38"/>
  <c r="AJ20" i="41"/>
  <c r="P19" i="38"/>
  <c r="AJ39" i="41"/>
  <c r="P38" i="38"/>
  <c r="AJ16" i="41"/>
  <c r="P15" i="38"/>
  <c r="AJ15" i="41"/>
  <c r="P14" i="38"/>
  <c r="AJ30" i="41"/>
  <c r="P29" i="38"/>
  <c r="AJ29" i="41"/>
  <c r="P28" i="38"/>
  <c r="AJ41" i="41"/>
  <c r="P40" i="38"/>
  <c r="AJ18" i="41"/>
  <c r="P17" i="38"/>
  <c r="AJ25" i="41"/>
  <c r="P24" i="38"/>
  <c r="AJ28" i="41"/>
  <c r="P27" i="38"/>
  <c r="AJ12" i="41"/>
  <c r="P11" i="38"/>
  <c r="AJ35" i="41"/>
  <c r="P34" i="38"/>
  <c r="AJ40" i="41"/>
  <c r="P39" i="38"/>
  <c r="AJ32" i="41"/>
  <c r="P31" i="38"/>
  <c r="AJ38" i="41"/>
  <c r="P37" i="38"/>
  <c r="AJ27" i="41"/>
  <c r="P26" i="38"/>
  <c r="AJ23" i="41"/>
  <c r="P22" i="38"/>
  <c r="AJ21" i="41"/>
  <c r="P20" i="38"/>
  <c r="AJ22" i="41"/>
  <c r="P21" i="38"/>
  <c r="AJ26" i="41"/>
  <c r="P25" i="38"/>
  <c r="AJ34" i="41"/>
  <c r="P33" i="38"/>
  <c r="P23" i="38"/>
  <c r="AJ24" i="41"/>
  <c r="FH20" i="29"/>
  <c r="FH34" i="29"/>
  <c r="K100" i="27"/>
  <c r="B100" i="27" s="1"/>
  <c r="J100" i="27"/>
  <c r="FH23" i="29"/>
  <c r="FH13" i="29"/>
  <c r="FH24" i="29"/>
  <c r="FH33" i="29"/>
  <c r="FF16" i="29"/>
  <c r="FF13" i="29"/>
  <c r="FH14" i="29"/>
  <c r="FF24" i="29"/>
  <c r="K88" i="27"/>
  <c r="B88" i="27" s="1"/>
  <c r="J88" i="27"/>
  <c r="FH28" i="29"/>
  <c r="FF23" i="29"/>
  <c r="E102" i="27"/>
  <c r="FH16" i="29"/>
  <c r="FH31" i="29"/>
  <c r="FH19" i="29"/>
  <c r="FH35" i="29"/>
  <c r="FF21" i="29"/>
  <c r="J66" i="27"/>
  <c r="K66" i="27"/>
  <c r="B66" i="27" s="1"/>
  <c r="FH17" i="29"/>
  <c r="FF26" i="29"/>
  <c r="FH25" i="29"/>
  <c r="FF18" i="29"/>
  <c r="B81" i="29"/>
  <c r="FF36" i="29"/>
  <c r="FH29" i="29"/>
  <c r="FH18" i="29"/>
  <c r="FH27" i="29"/>
  <c r="FF28" i="29"/>
  <c r="FH21" i="29"/>
  <c r="FF14" i="29"/>
  <c r="FH22" i="29"/>
  <c r="T55" i="44" a="1"/>
  <c r="C38" i="27" a="1"/>
  <c r="F38" i="27" a="1"/>
  <c r="AB55" i="44"/>
  <c r="X55" i="44"/>
  <c r="Y55" i="44" a="1"/>
  <c r="D38" i="27" a="1"/>
  <c r="AC55" i="44"/>
  <c r="W55" i="44"/>
  <c r="AE55" i="44"/>
  <c r="AF55" i="44"/>
  <c r="Y26" i="39" l="1"/>
  <c r="Y36" i="39"/>
  <c r="Y31" i="39"/>
  <c r="Y34" i="39"/>
  <c r="Y25" i="39"/>
  <c r="Y39" i="39"/>
  <c r="Y19" i="39"/>
  <c r="Y16" i="39"/>
  <c r="Y27" i="39"/>
  <c r="Y24" i="39"/>
  <c r="Y13" i="39"/>
  <c r="Y6" i="39" s="1"/>
  <c r="Y33" i="39"/>
  <c r="Y35" i="39"/>
  <c r="Y21" i="39"/>
  <c r="Y32" i="39"/>
  <c r="Y41" i="39"/>
  <c r="Y22" i="39"/>
  <c r="Y38" i="39"/>
  <c r="Y20" i="39"/>
  <c r="Y29" i="39"/>
  <c r="Y28" i="39"/>
  <c r="Y42" i="39"/>
  <c r="Y23" i="39"/>
  <c r="Y40" i="39"/>
  <c r="Y37" i="39"/>
  <c r="Y17" i="39"/>
  <c r="Y14" i="39"/>
  <c r="Y30" i="39"/>
  <c r="Y18" i="39"/>
  <c r="Y15" i="39"/>
  <c r="T55" i="44"/>
  <c r="Y55" i="44"/>
  <c r="J57" i="45"/>
  <c r="N29" i="44"/>
  <c r="C57" i="45"/>
  <c r="F38" i="27"/>
  <c r="D38" i="27"/>
  <c r="C38" i="27"/>
  <c r="X6" i="39"/>
  <c r="J68" i="27"/>
  <c r="K68" i="27"/>
  <c r="B68" i="27" s="1"/>
  <c r="E68" i="27"/>
  <c r="J89" i="27"/>
  <c r="K89" i="27"/>
  <c r="B89" i="27" s="1"/>
  <c r="G102" i="27"/>
  <c r="B82" i="29"/>
  <c r="AD55" i="44"/>
  <c r="Z55" i="44" a="1"/>
  <c r="U55" i="44" a="1"/>
  <c r="V55" i="44"/>
  <c r="AA55" i="44"/>
  <c r="N45" i="45" l="1"/>
  <c r="G45" i="45"/>
  <c r="U55" i="44"/>
  <c r="F45" i="45" s="1"/>
  <c r="Z55" i="44"/>
  <c r="M45" i="45" s="1"/>
  <c r="X3" i="39"/>
  <c r="Y3" i="39"/>
  <c r="B83" i="29"/>
  <c r="J90" i="27"/>
  <c r="K90" i="27"/>
  <c r="B90" i="27" s="1"/>
  <c r="AS28" i="39" l="1"/>
  <c r="AS38" i="39"/>
  <c r="AS15" i="39"/>
  <c r="AS40" i="39"/>
  <c r="AS25" i="39"/>
  <c r="AS14" i="39"/>
  <c r="AS42" i="39"/>
  <c r="AS16" i="39"/>
  <c r="AS22" i="39"/>
  <c r="AS27" i="39"/>
  <c r="AS32" i="39"/>
  <c r="AS41" i="39"/>
  <c r="AS17" i="39"/>
  <c r="AS29" i="39"/>
  <c r="AS33" i="39"/>
  <c r="AS26" i="39"/>
  <c r="AS19" i="39"/>
  <c r="AS36" i="39"/>
  <c r="AS35" i="39"/>
  <c r="AS24" i="39"/>
  <c r="AS39" i="39"/>
  <c r="AS13" i="39"/>
  <c r="AS23" i="39"/>
  <c r="AS18" i="39"/>
  <c r="AS20" i="39"/>
  <c r="AS30" i="39"/>
  <c r="AS37" i="39"/>
  <c r="AS21" i="39"/>
  <c r="AS34" i="39"/>
  <c r="AS31" i="39"/>
  <c r="AR6" i="39"/>
  <c r="K91" i="27"/>
  <c r="B91" i="27" s="1"/>
  <c r="J91" i="27"/>
  <c r="B84" i="29"/>
  <c r="AS6" i="39" l="1"/>
  <c r="AR3" i="39"/>
  <c r="B85" i="29"/>
  <c r="T67" i="44" a="1"/>
  <c r="AS3" i="39" l="1"/>
  <c r="T67" i="44"/>
  <c r="AT6" i="39"/>
  <c r="B86" i="29"/>
  <c r="X67" i="44"/>
  <c r="Y67" i="44" a="1"/>
  <c r="AF67" i="44"/>
  <c r="AE67" i="44"/>
  <c r="AB67" i="44"/>
  <c r="W67" i="44"/>
  <c r="AC67" i="44"/>
  <c r="AU24" i="39" l="1"/>
  <c r="Y67" i="44"/>
  <c r="AU17" i="39"/>
  <c r="AU16" i="39"/>
  <c r="AU14" i="39"/>
  <c r="AU19" i="39"/>
  <c r="AU21" i="39"/>
  <c r="AU32" i="39"/>
  <c r="AU40" i="39"/>
  <c r="AU39" i="39"/>
  <c r="AU34" i="39"/>
  <c r="AU29" i="39"/>
  <c r="AU41" i="39"/>
  <c r="AU20" i="39"/>
  <c r="AU36" i="39"/>
  <c r="AU42" i="39"/>
  <c r="AU27" i="39"/>
  <c r="AU22" i="39"/>
  <c r="AU28" i="39"/>
  <c r="AU38" i="39"/>
  <c r="AU30" i="39"/>
  <c r="AU23" i="39"/>
  <c r="AU31" i="39"/>
  <c r="AU37" i="39"/>
  <c r="AU33" i="39"/>
  <c r="AU25" i="39"/>
  <c r="AU18" i="39"/>
  <c r="AU15" i="39"/>
  <c r="AU35" i="39"/>
  <c r="AU26" i="39"/>
  <c r="AU13" i="39"/>
  <c r="AT3" i="39"/>
  <c r="B87" i="29"/>
  <c r="Z67" i="44" a="1"/>
  <c r="AA67" i="44"/>
  <c r="U67" i="44" a="1"/>
  <c r="AD67" i="44"/>
  <c r="V67" i="44"/>
  <c r="G46" i="45" l="1"/>
  <c r="U67" i="44"/>
  <c r="F46" i="45" s="1"/>
  <c r="AU6" i="39"/>
  <c r="Z67" i="44"/>
  <c r="M46" i="45" s="1"/>
  <c r="N46" i="45"/>
  <c r="AU3" i="39"/>
  <c r="B88" i="29"/>
  <c r="BO19" i="39" l="1"/>
  <c r="BO27" i="39"/>
  <c r="BO31" i="39"/>
  <c r="BO24" i="39"/>
  <c r="BO41" i="39"/>
  <c r="BN6" i="39"/>
  <c r="BO13" i="39"/>
  <c r="BO6" i="39" s="1"/>
  <c r="BO42" i="39"/>
  <c r="BO23" i="39"/>
  <c r="BO22" i="39"/>
  <c r="BO32" i="39"/>
  <c r="BO14" i="39"/>
  <c r="BO26" i="39"/>
  <c r="BO28" i="39"/>
  <c r="BO16" i="39"/>
  <c r="BO37" i="39"/>
  <c r="BO20" i="39"/>
  <c r="BO40" i="39"/>
  <c r="BO35" i="39"/>
  <c r="BO38" i="39"/>
  <c r="BO18" i="39"/>
  <c r="BO36" i="39"/>
  <c r="BO21" i="39"/>
  <c r="BO29" i="39"/>
  <c r="BO17" i="39"/>
  <c r="BO30" i="39"/>
  <c r="BO39" i="39"/>
  <c r="BO34" i="39"/>
  <c r="BO25" i="39"/>
  <c r="BO15" i="39"/>
  <c r="BO33" i="39"/>
  <c r="B89" i="29"/>
  <c r="BN3" i="39" l="1"/>
  <c r="BP19" i="39"/>
  <c r="BP27" i="39"/>
  <c r="BP15" i="39"/>
  <c r="BP34" i="39"/>
  <c r="BP42" i="39"/>
  <c r="BP38" i="39"/>
  <c r="BP22" i="39"/>
  <c r="BP30" i="39"/>
  <c r="BP41" i="39"/>
  <c r="BP26" i="39"/>
  <c r="BP18" i="39"/>
  <c r="BP29" i="39"/>
  <c r="BP14" i="39"/>
  <c r="BP17" i="39"/>
  <c r="BP33" i="39"/>
  <c r="BP40" i="39"/>
  <c r="BP37" i="39"/>
  <c r="BP21" i="39"/>
  <c r="BP28" i="39"/>
  <c r="BP25" i="39"/>
  <c r="BP16" i="39"/>
  <c r="BP13" i="39"/>
  <c r="BP36" i="39"/>
  <c r="BP35" i="39"/>
  <c r="BP32" i="39"/>
  <c r="BP31" i="39"/>
  <c r="BP39" i="39"/>
  <c r="BP24" i="39"/>
  <c r="BP23" i="39"/>
  <c r="BP20" i="39"/>
  <c r="BO3" i="39"/>
  <c r="B90" i="29"/>
  <c r="AC59" i="44"/>
  <c r="AF59" i="44"/>
  <c r="AE59" i="44"/>
  <c r="X59" i="44"/>
  <c r="W59" i="44"/>
  <c r="AB59" i="44"/>
  <c r="T59" i="44" a="1"/>
  <c r="Y59" i="44" a="1"/>
  <c r="BQ21" i="39" l="1"/>
  <c r="BQ26" i="39"/>
  <c r="BQ18" i="39"/>
  <c r="BQ17" i="39"/>
  <c r="BQ39" i="39"/>
  <c r="BQ16" i="39"/>
  <c r="BQ38" i="39"/>
  <c r="BQ35" i="39"/>
  <c r="BQ42" i="39"/>
  <c r="BQ40" i="39"/>
  <c r="BQ19" i="39"/>
  <c r="BQ24" i="39"/>
  <c r="BQ32" i="39"/>
  <c r="BQ20" i="39"/>
  <c r="BQ41" i="39"/>
  <c r="BQ28" i="39"/>
  <c r="BQ30" i="39"/>
  <c r="BQ37" i="39"/>
  <c r="BQ34" i="39"/>
  <c r="BQ31" i="39"/>
  <c r="BQ22" i="39"/>
  <c r="BQ15" i="39"/>
  <c r="BQ14" i="39"/>
  <c r="BQ23" i="39"/>
  <c r="BQ27" i="39"/>
  <c r="BQ33" i="39"/>
  <c r="BQ25" i="39"/>
  <c r="BP6" i="39"/>
  <c r="BQ13" i="39"/>
  <c r="BQ6" i="39" s="1"/>
  <c r="BQ36" i="39"/>
  <c r="BQ29" i="39"/>
  <c r="T59" i="44"/>
  <c r="Y59" i="44"/>
  <c r="B91" i="29"/>
  <c r="AA59" i="44"/>
  <c r="Z59" i="44" a="1"/>
  <c r="V59" i="44"/>
  <c r="U59" i="44" a="1"/>
  <c r="AD59" i="44"/>
  <c r="BP3" i="39" l="1"/>
  <c r="CJ27" i="39"/>
  <c r="CJ42" i="39"/>
  <c r="CJ39" i="39"/>
  <c r="CJ41" i="39"/>
  <c r="CJ29" i="39"/>
  <c r="CJ36" i="39"/>
  <c r="CJ15" i="39"/>
  <c r="CJ18" i="39"/>
  <c r="CJ17" i="39"/>
  <c r="CJ24" i="39"/>
  <c r="CJ26" i="39"/>
  <c r="CJ35" i="39"/>
  <c r="CJ38" i="39"/>
  <c r="CJ23" i="39"/>
  <c r="CJ37" i="39"/>
  <c r="CJ25" i="39"/>
  <c r="CJ34" i="39"/>
  <c r="CJ14" i="39"/>
  <c r="CJ32" i="39"/>
  <c r="CJ20" i="39"/>
  <c r="CJ13" i="39"/>
  <c r="CJ22" i="39"/>
  <c r="CJ40" i="39"/>
  <c r="CJ28" i="39"/>
  <c r="CJ31" i="39"/>
  <c r="CJ33" i="39"/>
  <c r="CJ16" i="39"/>
  <c r="CJ19" i="39"/>
  <c r="CJ21" i="39"/>
  <c r="CJ30" i="39"/>
  <c r="BQ3" i="39"/>
  <c r="U59" i="44"/>
  <c r="F47" i="45" s="1"/>
  <c r="G47" i="45"/>
  <c r="N47" i="45"/>
  <c r="Z59" i="44"/>
  <c r="M47" i="45" s="1"/>
  <c r="B92" i="29"/>
  <c r="CK39" i="39" l="1"/>
  <c r="CK14" i="39"/>
  <c r="CK25" i="39"/>
  <c r="CK42" i="39"/>
  <c r="CK18" i="39"/>
  <c r="CK41" i="39"/>
  <c r="CK22" i="39"/>
  <c r="CK20" i="39"/>
  <c r="CK23" i="39"/>
  <c r="CK33" i="39"/>
  <c r="CK24" i="39"/>
  <c r="CK34" i="39"/>
  <c r="CK32" i="39"/>
  <c r="CK30" i="39"/>
  <c r="CK27" i="39"/>
  <c r="CK31" i="39"/>
  <c r="CK19" i="39"/>
  <c r="CK28" i="39"/>
  <c r="CK15" i="39"/>
  <c r="CK16" i="39"/>
  <c r="CK35" i="39"/>
  <c r="CK13" i="39"/>
  <c r="CK6" i="39" s="1"/>
  <c r="CK29" i="39"/>
  <c r="CK21" i="39"/>
  <c r="CK26" i="39"/>
  <c r="CK36" i="39"/>
  <c r="CK37" i="39"/>
  <c r="CK17" i="39"/>
  <c r="CK40" i="39"/>
  <c r="CK38" i="39"/>
  <c r="CJ6" i="39"/>
  <c r="B93" i="29"/>
  <c r="CJ3" i="39" l="1"/>
  <c r="CL14" i="39"/>
  <c r="CL41" i="39"/>
  <c r="CL40" i="39"/>
  <c r="CL42" i="39"/>
  <c r="CL33" i="39"/>
  <c r="CL32" i="39"/>
  <c r="CL28" i="39"/>
  <c r="CL30" i="39"/>
  <c r="CL27" i="39"/>
  <c r="CL21" i="39"/>
  <c r="CL16" i="39"/>
  <c r="CL23" i="39"/>
  <c r="CL35" i="39"/>
  <c r="CL19" i="39"/>
  <c r="CL24" i="39"/>
  <c r="CL36" i="39"/>
  <c r="CL39" i="39"/>
  <c r="CL18" i="39"/>
  <c r="CL22" i="39"/>
  <c r="CL31" i="39"/>
  <c r="CL37" i="39"/>
  <c r="CL25" i="39"/>
  <c r="CL26" i="39"/>
  <c r="CL29" i="39"/>
  <c r="CL20" i="39"/>
  <c r="CL13" i="39"/>
  <c r="CL17" i="39"/>
  <c r="CL34" i="39"/>
  <c r="CL15" i="39"/>
  <c r="CL38" i="39"/>
  <c r="CK3" i="39"/>
  <c r="B94" i="29"/>
  <c r="AF71" i="44"/>
  <c r="T71" i="44" a="1"/>
  <c r="AB71" i="44"/>
  <c r="W71" i="44"/>
  <c r="Y71" i="44" a="1"/>
  <c r="AE71" i="44"/>
  <c r="AC71" i="44"/>
  <c r="X71" i="44"/>
  <c r="CM35" i="39" l="1"/>
  <c r="CM17" i="39"/>
  <c r="CM14" i="39"/>
  <c r="CM15" i="39"/>
  <c r="CM28" i="39"/>
  <c r="CM19" i="39"/>
  <c r="CM33" i="39"/>
  <c r="CM32" i="39"/>
  <c r="CM41" i="39"/>
  <c r="CM26" i="39"/>
  <c r="CM24" i="39"/>
  <c r="CM42" i="39"/>
  <c r="CM29" i="39"/>
  <c r="CM21" i="39"/>
  <c r="CM31" i="39"/>
  <c r="CM37" i="39"/>
  <c r="CM40" i="39"/>
  <c r="CM18" i="39"/>
  <c r="CM27" i="39"/>
  <c r="CM34" i="39"/>
  <c r="CL6" i="39"/>
  <c r="CM13" i="39"/>
  <c r="CM36" i="39"/>
  <c r="CM25" i="39"/>
  <c r="CM23" i="39"/>
  <c r="CM38" i="39"/>
  <c r="CM39" i="39"/>
  <c r="CM20" i="39"/>
  <c r="CM30" i="39"/>
  <c r="CM22" i="39"/>
  <c r="CM16" i="39"/>
  <c r="Y71" i="44"/>
  <c r="T71" i="44"/>
  <c r="B95" i="29"/>
  <c r="V71" i="44"/>
  <c r="AA71" i="44"/>
  <c r="U71" i="44" a="1"/>
  <c r="AD71" i="44"/>
  <c r="Z71" i="44" a="1"/>
  <c r="CL3" i="39" l="1"/>
  <c r="DF41" i="39"/>
  <c r="DF29" i="39"/>
  <c r="DF32" i="39"/>
  <c r="DF26" i="39"/>
  <c r="G48" i="45"/>
  <c r="N48" i="45"/>
  <c r="Z71" i="44"/>
  <c r="M48" i="45" s="1"/>
  <c r="U71" i="44"/>
  <c r="F48" i="45" s="1"/>
  <c r="CM6" i="39"/>
  <c r="CM3" i="39" s="1"/>
  <c r="B96" i="29"/>
  <c r="DF20" i="39" l="1"/>
  <c r="DF42" i="39"/>
  <c r="DF30" i="39"/>
  <c r="DF27" i="39"/>
  <c r="DF33" i="39"/>
  <c r="DF14" i="39"/>
  <c r="DF18" i="39"/>
  <c r="DF17" i="39"/>
  <c r="DF34" i="39"/>
  <c r="DF16" i="39"/>
  <c r="DF21" i="39"/>
  <c r="DF31" i="39"/>
  <c r="DF24" i="39"/>
  <c r="DF39" i="39"/>
  <c r="DF22" i="39"/>
  <c r="DF36" i="39"/>
  <c r="DF15" i="39"/>
  <c r="DF25" i="39"/>
  <c r="DF28" i="39"/>
  <c r="DF13" i="39"/>
  <c r="DF6" i="39" s="1"/>
  <c r="DF3" i="39" s="1"/>
  <c r="DF38" i="39"/>
  <c r="DF35" i="39"/>
  <c r="DF37" i="39"/>
  <c r="DF40" i="39"/>
  <c r="DF19" i="39"/>
  <c r="DF23" i="39"/>
  <c r="B97" i="29"/>
  <c r="DG13" i="39" l="1"/>
  <c r="DG18" i="39"/>
  <c r="DG41" i="39"/>
  <c r="DG16" i="39"/>
  <c r="DG19" i="39"/>
  <c r="DG36" i="39"/>
  <c r="DG33" i="39"/>
  <c r="DG24" i="39"/>
  <c r="DG31" i="39"/>
  <c r="DG39" i="39"/>
  <c r="DG17" i="39"/>
  <c r="DG35" i="39"/>
  <c r="DG15" i="39"/>
  <c r="DG38" i="39"/>
  <c r="DG32" i="39"/>
  <c r="DG29" i="39"/>
  <c r="DG22" i="39"/>
  <c r="DG37" i="39"/>
  <c r="DG30" i="39"/>
  <c r="DG25" i="39"/>
  <c r="DG34" i="39"/>
  <c r="DG42" i="39"/>
  <c r="DG28" i="39"/>
  <c r="DG20" i="39"/>
  <c r="DG26" i="39"/>
  <c r="DG40" i="39"/>
  <c r="DG27" i="39"/>
  <c r="DG23" i="39"/>
  <c r="DG21" i="39"/>
  <c r="DG14" i="39"/>
  <c r="B98" i="29"/>
  <c r="DG6" i="39" l="1"/>
  <c r="W63" i="44"/>
  <c r="Q47" i="27" a="1"/>
  <c r="X63" i="44"/>
  <c r="T63" i="44" a="1"/>
  <c r="E47" i="27" a="1"/>
  <c r="DG3" i="39" l="1"/>
  <c r="DH30" i="39"/>
  <c r="DH32" i="39"/>
  <c r="DH33" i="39"/>
  <c r="DH40" i="39"/>
  <c r="DH29" i="39"/>
  <c r="DH36" i="39"/>
  <c r="DH24" i="39"/>
  <c r="DH13" i="39"/>
  <c r="DH6" i="39" s="1"/>
  <c r="DH3" i="39" s="1"/>
  <c r="DH25" i="39"/>
  <c r="DH38" i="39"/>
  <c r="DH28" i="39"/>
  <c r="DH31" i="39"/>
  <c r="DH23" i="39"/>
  <c r="DH16" i="39"/>
  <c r="DH14" i="39"/>
  <c r="DH21" i="39"/>
  <c r="DH41" i="39"/>
  <c r="DH18" i="39"/>
  <c r="DH39" i="39"/>
  <c r="DH19" i="39"/>
  <c r="DH20" i="39"/>
  <c r="DH15" i="39"/>
  <c r="DH17" i="39"/>
  <c r="DH26" i="39"/>
  <c r="DH34" i="39"/>
  <c r="DH22" i="39"/>
  <c r="DH37" i="39"/>
  <c r="DH27" i="39"/>
  <c r="DH35" i="39"/>
  <c r="DH42" i="39"/>
  <c r="T63" i="44"/>
  <c r="Q47" i="27"/>
  <c r="E47" i="27"/>
  <c r="V63" i="44"/>
  <c r="G47" i="27" a="1"/>
  <c r="AC63" i="44"/>
  <c r="AB63" i="44"/>
  <c r="U63" i="44" a="1"/>
  <c r="Y63" i="44" a="1"/>
  <c r="AF63" i="44"/>
  <c r="AE63" i="44"/>
  <c r="DI35" i="39" l="1"/>
  <c r="DI27" i="39"/>
  <c r="DI29" i="39"/>
  <c r="DI20" i="39"/>
  <c r="DI42" i="39"/>
  <c r="DI14" i="39"/>
  <c r="DI22" i="39"/>
  <c r="DI34" i="39"/>
  <c r="DI37" i="39"/>
  <c r="Y63" i="44"/>
  <c r="DI21" i="39"/>
  <c r="DI40" i="39"/>
  <c r="DI16" i="39"/>
  <c r="DI30" i="39"/>
  <c r="DI13" i="39"/>
  <c r="DI6" i="39" s="1"/>
  <c r="DI3" i="39" s="1"/>
  <c r="DI38" i="39"/>
  <c r="DI15" i="39"/>
  <c r="DI17" i="39"/>
  <c r="DI19" i="39"/>
  <c r="DI41" i="39"/>
  <c r="DI18" i="39"/>
  <c r="DI25" i="39"/>
  <c r="DI36" i="39"/>
  <c r="DI32" i="39"/>
  <c r="DI26" i="39"/>
  <c r="DI28" i="39"/>
  <c r="DI31" i="39"/>
  <c r="DI23" i="39"/>
  <c r="DI39" i="39"/>
  <c r="DI24" i="39"/>
  <c r="DI33" i="39"/>
  <c r="U63" i="44"/>
  <c r="F49" i="45" s="1"/>
  <c r="G49" i="45"/>
  <c r="G47" i="27"/>
  <c r="AD63" i="44"/>
  <c r="AA63" i="44"/>
  <c r="Z63" i="44" a="1"/>
  <c r="DL13" i="39" l="1" a="1"/>
  <c r="DL13" i="39" s="1"/>
  <c r="DJ41" i="39" a="1"/>
  <c r="DJ41" i="39" s="1"/>
  <c r="DJ35" i="39" a="1"/>
  <c r="DJ35" i="39" s="1"/>
  <c r="DJ42" i="39" a="1"/>
  <c r="DJ42" i="39" s="1"/>
  <c r="DJ24" i="39" a="1"/>
  <c r="DJ24" i="39" s="1"/>
  <c r="DJ14" i="39" a="1"/>
  <c r="DJ14" i="39" s="1"/>
  <c r="DJ31" i="39" a="1"/>
  <c r="DJ31" i="39" s="1"/>
  <c r="DJ28" i="39" a="1"/>
  <c r="DJ28" i="39" s="1"/>
  <c r="N49" i="45"/>
  <c r="Z63" i="44"/>
  <c r="M49" i="45" s="1"/>
  <c r="DJ20" i="39" a="1"/>
  <c r="DJ20" i="39" s="1"/>
  <c r="DL31" i="39" a="1"/>
  <c r="DL31" i="39" s="1"/>
  <c r="DL28" i="39" a="1"/>
  <c r="DL28" i="39" s="1"/>
  <c r="DL18" i="39" a="1"/>
  <c r="DL18" i="39" s="1"/>
  <c r="DL14" i="39" a="1"/>
  <c r="DL14" i="39" s="1"/>
  <c r="DJ33" i="39" a="1"/>
  <c r="DJ33" i="39" s="1"/>
  <c r="DJ34" i="39" a="1"/>
  <c r="DJ34" i="39" s="1"/>
  <c r="DL21" i="39" a="1"/>
  <c r="DL21" i="39" s="1"/>
  <c r="DL41" i="39" a="1"/>
  <c r="DL41" i="39" s="1"/>
  <c r="DJ16" i="39" a="1"/>
  <c r="DJ16" i="39" s="1"/>
  <c r="G14" i="38" s="1"/>
  <c r="DJ15" i="39" a="1"/>
  <c r="DJ15" i="39" s="1"/>
  <c r="DJ40" i="39" a="1"/>
  <c r="DJ40" i="39" s="1"/>
  <c r="DL29" i="39" a="1"/>
  <c r="DL29" i="39" s="1"/>
  <c r="DL15" i="39" a="1"/>
  <c r="DL15" i="39" s="1"/>
  <c r="DJ25" i="39" a="1"/>
  <c r="DJ25" i="39" s="1"/>
  <c r="DJ32" i="39" a="1"/>
  <c r="DJ32" i="39" s="1"/>
  <c r="DL16" i="39" a="1"/>
  <c r="DL16" i="39" s="1"/>
  <c r="DL27" i="39" a="1"/>
  <c r="DL27" i="39" s="1"/>
  <c r="DJ22" i="39" a="1"/>
  <c r="DJ22" i="39" s="1"/>
  <c r="DJ18" i="39" a="1"/>
  <c r="DJ18" i="39" s="1"/>
  <c r="DJ13" i="39" a="1"/>
  <c r="DJ13" i="39" s="1"/>
  <c r="DL42" i="39" a="1"/>
  <c r="DL42" i="39" s="1"/>
  <c r="DL36" i="39" a="1"/>
  <c r="DL36" i="39" s="1"/>
  <c r="DJ19" i="39" a="1"/>
  <c r="DJ19" i="39" s="1"/>
  <c r="DJ21" i="39" a="1"/>
  <c r="DJ21" i="39" s="1"/>
  <c r="DL26" i="39" a="1"/>
  <c r="DL26" i="39" s="1"/>
  <c r="DL33" i="39" a="1"/>
  <c r="DL33" i="39" s="1"/>
  <c r="DL40" i="39" a="1"/>
  <c r="DL40" i="39" s="1"/>
  <c r="DJ37" i="39" a="1"/>
  <c r="DJ37" i="39" s="1"/>
  <c r="DJ17" i="39" a="1"/>
  <c r="DJ17" i="39" s="1"/>
  <c r="DL23" i="39" a="1"/>
  <c r="DL23" i="39" s="1"/>
  <c r="DL34" i="39" a="1"/>
  <c r="DL34" i="39" s="1"/>
  <c r="DL25" i="39" a="1"/>
  <c r="DL25" i="39" s="1"/>
  <c r="DJ23" i="39" a="1"/>
  <c r="DJ23" i="39" s="1"/>
  <c r="DJ26" i="39" a="1"/>
  <c r="DJ26" i="39" s="1"/>
  <c r="DL35" i="39" a="1"/>
  <c r="DL35" i="39" s="1"/>
  <c r="DL37" i="39" a="1"/>
  <c r="DL37" i="39" s="1"/>
  <c r="DL24" i="39" a="1"/>
  <c r="DL24" i="39" s="1"/>
  <c r="DJ29" i="39" a="1"/>
  <c r="DJ29" i="39" s="1"/>
  <c r="DJ30" i="39" a="1"/>
  <c r="DJ30" i="39" s="1"/>
  <c r="DL22" i="39" a="1"/>
  <c r="DL22" i="39" s="1"/>
  <c r="DL17" i="39" a="1"/>
  <c r="DL17" i="39" s="1"/>
  <c r="DL32" i="39" a="1"/>
  <c r="DL32" i="39" s="1"/>
  <c r="DJ38" i="39" a="1"/>
  <c r="DJ38" i="39" s="1"/>
  <c r="DJ27" i="39" a="1"/>
  <c r="DJ27" i="39" s="1"/>
  <c r="DL38" i="39" a="1"/>
  <c r="DL38" i="39" s="1"/>
  <c r="DL20" i="39" a="1"/>
  <c r="DL20" i="39" s="1"/>
  <c r="DL19" i="39" a="1"/>
  <c r="DL19" i="39" s="1"/>
  <c r="DJ39" i="39" a="1"/>
  <c r="DJ39" i="39" s="1"/>
  <c r="DJ36" i="39" a="1"/>
  <c r="DJ36" i="39" s="1"/>
  <c r="DL39" i="39" a="1"/>
  <c r="DL39" i="39" s="1"/>
  <c r="DL30" i="39" a="1"/>
  <c r="DL30" i="39" s="1"/>
  <c r="W72" i="44"/>
  <c r="X72" i="44"/>
  <c r="AE72" i="44"/>
  <c r="E59" i="27" a="1"/>
  <c r="Y72" i="44" a="1"/>
  <c r="T72" i="44" a="1"/>
  <c r="AB72" i="44"/>
  <c r="AF72" i="44"/>
  <c r="AC72" i="44"/>
  <c r="T72" i="44" l="1"/>
  <c r="E59" i="27"/>
  <c r="Y72" i="44"/>
  <c r="I14" i="38"/>
  <c r="DM16" i="39"/>
  <c r="J14" i="38" s="1"/>
  <c r="I27" i="38"/>
  <c r="DM29" i="39"/>
  <c r="J27" i="38" s="1"/>
  <c r="I23" i="38"/>
  <c r="DM25" i="39"/>
  <c r="J23" i="38" s="1"/>
  <c r="G38" i="38"/>
  <c r="DM36" i="39"/>
  <c r="J34" i="38" s="1"/>
  <c r="I34" i="38"/>
  <c r="G22" i="38"/>
  <c r="G23" i="38"/>
  <c r="G37" i="38"/>
  <c r="DM33" i="39"/>
  <c r="J31" i="38" s="1"/>
  <c r="I31" i="38"/>
  <c r="DM41" i="39"/>
  <c r="J39" i="38" s="1"/>
  <c r="I39" i="38"/>
  <c r="DM15" i="39"/>
  <c r="J13" i="38" s="1"/>
  <c r="I13" i="38"/>
  <c r="I25" i="38"/>
  <c r="DM27" i="39"/>
  <c r="J25" i="38" s="1"/>
  <c r="G12" i="38"/>
  <c r="G24" i="38"/>
  <c r="G32" i="38"/>
  <c r="DM30" i="39"/>
  <c r="J28" i="38" s="1"/>
  <c r="I28" i="38"/>
  <c r="G28" i="38"/>
  <c r="DM42" i="39"/>
  <c r="J40" i="38" s="1"/>
  <c r="I40" i="38"/>
  <c r="DM32" i="39"/>
  <c r="J30" i="38" s="1"/>
  <c r="I30" i="38"/>
  <c r="I35" i="38"/>
  <c r="DM37" i="39"/>
  <c r="J35" i="38" s="1"/>
  <c r="G27" i="38"/>
  <c r="G34" i="38"/>
  <c r="I16" i="38"/>
  <c r="DM18" i="39"/>
  <c r="I17" i="38"/>
  <c r="DM19" i="39"/>
  <c r="J17" i="38" s="1"/>
  <c r="I19" i="38"/>
  <c r="DM21" i="39"/>
  <c r="J19" i="38" s="1"/>
  <c r="I21" i="38"/>
  <c r="DM23" i="39"/>
  <c r="J21" i="38" s="1"/>
  <c r="G15" i="38"/>
  <c r="G20" i="38"/>
  <c r="G19" i="38"/>
  <c r="G36" i="38"/>
  <c r="DM38" i="39"/>
  <c r="J36" i="38" s="1"/>
  <c r="I36" i="38"/>
  <c r="DM40" i="39"/>
  <c r="J38" i="38" s="1"/>
  <c r="I38" i="38"/>
  <c r="DM22" i="39"/>
  <c r="J20" i="38" s="1"/>
  <c r="I20" i="38"/>
  <c r="G33" i="38"/>
  <c r="G30" i="38"/>
  <c r="G25" i="38"/>
  <c r="G13" i="38"/>
  <c r="I12" i="38"/>
  <c r="DM14" i="39"/>
  <c r="J12" i="38" s="1"/>
  <c r="I15" i="38"/>
  <c r="DM17" i="39"/>
  <c r="J15" i="38" s="1"/>
  <c r="G11" i="38"/>
  <c r="DJ6" i="39"/>
  <c r="DJ3" i="39" s="1"/>
  <c r="G35" i="38"/>
  <c r="G29" i="38"/>
  <c r="I37" i="38"/>
  <c r="DM39" i="39"/>
  <c r="J37" i="38" s="1"/>
  <c r="I29" i="38"/>
  <c r="DM31" i="39"/>
  <c r="J29" i="38" s="1"/>
  <c r="DM28" i="39"/>
  <c r="I26" i="38"/>
  <c r="DM26" i="39"/>
  <c r="J24" i="38" s="1"/>
  <c r="I24" i="38"/>
  <c r="G21" i="38"/>
  <c r="I22" i="38"/>
  <c r="DM24" i="39"/>
  <c r="J22" i="38" s="1"/>
  <c r="DL6" i="39"/>
  <c r="DL3" i="39" s="1"/>
  <c r="I11" i="38"/>
  <c r="DM13" i="39"/>
  <c r="G26" i="38"/>
  <c r="G16" i="38"/>
  <c r="G39" i="38"/>
  <c r="G31" i="38"/>
  <c r="DM35" i="39"/>
  <c r="J33" i="38" s="1"/>
  <c r="I33" i="38"/>
  <c r="G18" i="38"/>
  <c r="G17" i="38"/>
  <c r="I18" i="38"/>
  <c r="DM20" i="39"/>
  <c r="J18" i="38" s="1"/>
  <c r="I32" i="38"/>
  <c r="DM34" i="39"/>
  <c r="G40" i="38"/>
  <c r="AA72" i="44"/>
  <c r="E34" i="27" a="1"/>
  <c r="Z72" i="44" a="1"/>
  <c r="V72" i="44"/>
  <c r="G59" i="27" a="1"/>
  <c r="U72" i="44" a="1"/>
  <c r="AD72" i="44"/>
  <c r="C34" i="27" a="1"/>
  <c r="F34" i="27" a="1"/>
  <c r="C34" i="27" l="1"/>
  <c r="K45" i="45"/>
  <c r="D45" i="45"/>
  <c r="U72" i="44"/>
  <c r="G59" i="27"/>
  <c r="E34" i="27"/>
  <c r="F34" i="27"/>
  <c r="Z72" i="44"/>
  <c r="DN16" i="39"/>
  <c r="H14" i="38"/>
  <c r="DN39" i="39"/>
  <c r="H37" i="38"/>
  <c r="C37" i="38" s="1" a="1"/>
  <c r="C37" i="38" s="1"/>
  <c r="DN27" i="39"/>
  <c r="H25" i="38"/>
  <c r="E25" i="38" s="1" a="1"/>
  <c r="E25" i="38" s="1"/>
  <c r="H22" i="38"/>
  <c r="E22" i="38" s="1" a="1"/>
  <c r="E22" i="38" s="1"/>
  <c r="DN24" i="39"/>
  <c r="H32" i="38"/>
  <c r="DN34" i="39"/>
  <c r="H15" i="38"/>
  <c r="C15" i="38" s="1" a="1"/>
  <c r="C15" i="38" s="1"/>
  <c r="DN17" i="39"/>
  <c r="DN15" i="39"/>
  <c r="H13" i="38"/>
  <c r="E13" i="38" s="1" a="1"/>
  <c r="E13" i="38" s="1"/>
  <c r="H18" i="38"/>
  <c r="E18" i="38" s="1" a="1"/>
  <c r="E18" i="38" s="1"/>
  <c r="DN20" i="39"/>
  <c r="H31" i="38"/>
  <c r="E31" i="38" s="1" a="1"/>
  <c r="E31" i="38" s="1"/>
  <c r="DN33" i="39"/>
  <c r="H29" i="38"/>
  <c r="E29" i="38" s="1" a="1"/>
  <c r="E29" i="38" s="1"/>
  <c r="DN31" i="39"/>
  <c r="H35" i="38"/>
  <c r="E35" i="38" s="1" a="1"/>
  <c r="E35" i="38" s="1"/>
  <c r="DN37" i="39"/>
  <c r="H27" i="38"/>
  <c r="C27" i="38" s="1" a="1"/>
  <c r="C27" i="38" s="1"/>
  <c r="DN29" i="39"/>
  <c r="DN23" i="39"/>
  <c r="H21" i="38"/>
  <c r="C21" i="38" s="1" a="1"/>
  <c r="C21" i="38" s="1"/>
  <c r="H23" i="38"/>
  <c r="C23" i="38" s="1" a="1"/>
  <c r="C23" i="38" s="1"/>
  <c r="DN25" i="39"/>
  <c r="H39" i="38"/>
  <c r="E39" i="38" s="1" a="1"/>
  <c r="E39" i="38" s="1"/>
  <c r="DN41" i="39"/>
  <c r="DN14" i="39"/>
  <c r="H12" i="38"/>
  <c r="E12" i="38" s="1" a="1"/>
  <c r="E12" i="38" s="1"/>
  <c r="DM6" i="39"/>
  <c r="DM3" i="39" s="1"/>
  <c r="J11" i="38"/>
  <c r="H36" i="38"/>
  <c r="C36" i="38" s="1" a="1"/>
  <c r="C36" i="38" s="1"/>
  <c r="DN38" i="39"/>
  <c r="DN32" i="39"/>
  <c r="H30" i="38"/>
  <c r="E30" i="38" s="1" a="1"/>
  <c r="E30" i="38" s="1"/>
  <c r="H16" i="38"/>
  <c r="DN18" i="39"/>
  <c r="J16" i="38"/>
  <c r="H19" i="38"/>
  <c r="C19" i="38" s="1" a="1"/>
  <c r="C19" i="38" s="1"/>
  <c r="DN21" i="39"/>
  <c r="H20" i="38"/>
  <c r="C20" i="38" s="1" a="1"/>
  <c r="C20" i="38" s="1"/>
  <c r="DN22" i="39"/>
  <c r="DN19" i="39"/>
  <c r="H17" i="38"/>
  <c r="C17" i="38" s="1" a="1"/>
  <c r="C17" i="38" s="1"/>
  <c r="H28" i="38"/>
  <c r="E28" i="38" s="1" a="1"/>
  <c r="E28" i="38" s="1"/>
  <c r="DN30" i="39"/>
  <c r="J26" i="38"/>
  <c r="DN35" i="39"/>
  <c r="H33" i="38"/>
  <c r="E33" i="38" s="1" a="1"/>
  <c r="E33" i="38" s="1"/>
  <c r="H24" i="38"/>
  <c r="E24" i="38" s="1" a="1"/>
  <c r="E24" i="38" s="1"/>
  <c r="DN26" i="39"/>
  <c r="DN40" i="39"/>
  <c r="H38" i="38"/>
  <c r="C38" i="38" s="1" a="1"/>
  <c r="C38" i="38" s="1"/>
  <c r="H34" i="38"/>
  <c r="C34" i="38" s="1" a="1"/>
  <c r="C34" i="38" s="1"/>
  <c r="DN36" i="39"/>
  <c r="DN28" i="39"/>
  <c r="H26" i="38"/>
  <c r="DN42" i="39"/>
  <c r="H40" i="38"/>
  <c r="C40" i="38" s="1" a="1"/>
  <c r="C40" i="38" s="1"/>
  <c r="H11" i="38"/>
  <c r="DK6" i="39"/>
  <c r="DK3" i="39" s="1"/>
  <c r="DN13" i="39"/>
  <c r="DN6" i="39" s="1"/>
  <c r="DN3" i="39" s="1"/>
  <c r="J32" i="38"/>
  <c r="D34" i="27" a="1"/>
  <c r="C11" i="38" l="1" a="1"/>
  <c r="C11" i="38" s="1"/>
  <c r="C25" i="38" a="1"/>
  <c r="C25" i="38" s="1"/>
  <c r="E36" i="38" a="1"/>
  <c r="E36" i="38" s="1"/>
  <c r="C32" i="38" a="1"/>
  <c r="C32" i="38" s="1"/>
  <c r="C28" i="38" a="1"/>
  <c r="C28" i="38" s="1"/>
  <c r="E17" i="38" a="1"/>
  <c r="E17" i="38" s="1"/>
  <c r="C16" i="38" a="1"/>
  <c r="C16" i="38" s="1"/>
  <c r="E40" i="38" a="1"/>
  <c r="E40" i="38" s="1"/>
  <c r="E19" i="38" a="1"/>
  <c r="E19" i="38" s="1"/>
  <c r="E20" i="38" a="1"/>
  <c r="E20" i="38" s="1"/>
  <c r="E34" i="38" a="1"/>
  <c r="E34" i="38" s="1"/>
  <c r="E27" i="38" a="1"/>
  <c r="E27" i="38" s="1"/>
  <c r="C35" i="38" a="1"/>
  <c r="C35" i="38" s="1"/>
  <c r="C30" i="38" a="1"/>
  <c r="C30" i="38" s="1"/>
  <c r="C22" i="38" a="1"/>
  <c r="C22" i="38" s="1"/>
  <c r="E32" i="38" a="1"/>
  <c r="E32" i="38" s="1"/>
  <c r="D34" i="27"/>
  <c r="E38" i="38" a="1"/>
  <c r="E38" i="38" s="1"/>
  <c r="C13" i="38" a="1"/>
  <c r="C13" i="38" s="1"/>
  <c r="C18" i="38" a="1"/>
  <c r="C18" i="38" s="1"/>
  <c r="C31" i="38" a="1"/>
  <c r="C31" i="38" s="1"/>
  <c r="E16" i="38" a="1"/>
  <c r="E16" i="38" s="1"/>
  <c r="N28" i="44"/>
  <c r="J45" i="45"/>
  <c r="C12" i="38" a="1"/>
  <c r="C12" i="38" s="1"/>
  <c r="E15" i="38" a="1"/>
  <c r="E15" i="38" s="1"/>
  <c r="C39" i="38" a="1"/>
  <c r="C39" i="38" s="1"/>
  <c r="E11" i="38" a="1"/>
  <c r="E11" i="38" s="1"/>
  <c r="E26" i="38" a="1"/>
  <c r="E26" i="38" s="1"/>
  <c r="E23" i="38" a="1"/>
  <c r="E23" i="38" s="1"/>
  <c r="C24" i="38" a="1"/>
  <c r="C24" i="38" s="1"/>
  <c r="M28" i="44"/>
  <c r="C45" i="45"/>
  <c r="C14" i="38" a="1"/>
  <c r="C14" i="38" s="1"/>
  <c r="E14" i="38" a="1"/>
  <c r="E14" i="38" s="1"/>
  <c r="E21" i="38" a="1"/>
  <c r="E21" i="38" s="1"/>
  <c r="C29" i="38" a="1"/>
  <c r="C29" i="38" s="1"/>
  <c r="C33" i="38" a="1"/>
  <c r="C33" i="38" s="1"/>
  <c r="C26" i="38" a="1"/>
  <c r="C26" i="38" s="1"/>
  <c r="E37" i="38" a="1"/>
  <c r="E37" i="38" s="1"/>
  <c r="E39" i="27" a="1"/>
  <c r="C39" i="27" a="1"/>
  <c r="F27" i="38" l="1"/>
  <c r="E39" i="27"/>
  <c r="F16" i="38"/>
  <c r="D35" i="38"/>
  <c r="D38" i="38"/>
  <c r="D24" i="38"/>
  <c r="C39" i="27"/>
  <c r="D34" i="38"/>
  <c r="F30" i="38"/>
  <c r="D31" i="38"/>
  <c r="F26" i="38"/>
  <c r="F31" i="38"/>
  <c r="F17" i="38"/>
  <c r="D39" i="38"/>
  <c r="F23" i="38"/>
  <c r="D29" i="38"/>
  <c r="F22" i="38"/>
  <c r="F39" i="38"/>
  <c r="F38" i="38"/>
  <c r="F28" i="38"/>
  <c r="F36" i="38"/>
  <c r="F35" i="38"/>
  <c r="F32" i="38"/>
  <c r="F19" i="38"/>
  <c r="F15" i="38"/>
  <c r="F13" i="38"/>
  <c r="F18" i="38"/>
  <c r="F24" i="38"/>
  <c r="F12" i="38"/>
  <c r="D25" i="38"/>
  <c r="F34" i="38"/>
  <c r="D18" i="38"/>
  <c r="F25" i="38"/>
  <c r="D12" i="38"/>
  <c r="D14" i="38"/>
  <c r="D27" i="38"/>
  <c r="D15" i="38"/>
  <c r="F20" i="38"/>
  <c r="D13" i="38"/>
  <c r="F14" i="38"/>
  <c r="D11" i="38"/>
  <c r="D26" i="38"/>
  <c r="D21" i="38"/>
  <c r="D40" i="38"/>
  <c r="D16" i="38"/>
  <c r="F33" i="38"/>
  <c r="F21" i="38"/>
  <c r="D20" i="38"/>
  <c r="D36" i="38"/>
  <c r="D32" i="38"/>
  <c r="F37" i="38"/>
  <c r="D30" i="38"/>
  <c r="D28" i="38"/>
  <c r="D37" i="38"/>
  <c r="D19" i="38"/>
  <c r="F11" i="38"/>
  <c r="D22" i="38"/>
  <c r="F40" i="38"/>
  <c r="F29" i="38"/>
  <c r="D23" i="38"/>
  <c r="D33" i="38"/>
  <c r="D17" i="38"/>
  <c r="F39" i="27" a="1"/>
  <c r="D39" i="27" a="1"/>
  <c r="F39" i="27" l="1"/>
  <c r="D39"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tc={BA2EFCA0-FF34-403C-A113-D75D4E0E4032}</author>
    <author>tc={49CB1463-7710-4C8B-AB6D-A8CD1BF04838}</author>
    <author>tc={C879A981-DC74-4962-9E7B-8EA8A0015983}</author>
    <author>tc={754FBB49-8846-43AB-B1EF-5B7DEB9903FE}</author>
    <author>tc={9B36066D-1B27-44DB-AE0B-8A27CAFDC2C9}</author>
    <author>tc={2529D475-1BCA-48D8-9451-1052A56FAE35}</author>
    <author>tc={66FEDB0F-AE14-407B-B54F-9B5017CE725F}</author>
    <author>tc={C9705433-00B9-40B1-9D29-6ABF187B1B83}</author>
    <author>tc={AF0B50F2-E45E-439F-B5BB-C05A1C1C5099}</author>
    <author>tc={6209FEBB-0623-4074-8E00-BBBFADF61373}</author>
    <author>tc={157607A1-AE8E-4328-BD49-CCE6B33A4F7F}</author>
    <author>tc={CD74A3D0-0A6D-443C-A2F5-7845F75BBCBB}</author>
    <author>tc={94BCEDE9-30F5-46AC-8B10-F6F99E04508E}</author>
    <author>tc={E2C5C2DF-BB2E-4EBD-9D16-EBA3C09A17A3}</author>
    <author>tc={C454297B-60C9-478E-A70C-0909B7CB90B6}</author>
    <author>tc={1DDCB1B4-798E-4091-93D6-502A3F1FCEB2}</author>
    <author>tc={79203153-5E43-4082-A0B5-A9F7CA62EC65}</author>
    <author>tc={312B4AEC-C6CA-41CD-850C-B6531A0010FC}</author>
    <author>tc={03C85FF2-C430-4AF6-8909-59743E508089}</author>
    <author>tc={1E8116E4-BFCF-4B2A-BC0C-3F0374B1F199}</author>
  </authors>
  <commentList>
    <comment ref="AY13" authorId="0" shapeId="0" xr:uid="{BA2EFCA0-FF34-403C-A113-D75D4E0E4032}">
      <text>
        <t>[Threaded comment]
Your version of Excel allows you to read this threaded comment; however, any edits to it will get removed if the file is opened in a newer version of Excel. Learn more: https://go.microsoft.com/fwlink/?linkid=870924
Comment:
    Note: Uses measured resource from PFS (0.64 Mt LCE) and converts it to contained metal (0.188). Source: European Metals. Link: https://www.investi.com.au/api/announcements/emh/7381a65f-d0b.pdf</t>
      </text>
    </comment>
    <comment ref="BU13" authorId="1" shapeId="0" xr:uid="{49CB1463-7710-4C8B-AB6D-A8CD1BF04838}">
      <text>
        <t>[Threaded comment]
Your version of Excel allows you to read this threaded comment; however, any edits to it will get removed if the file is opened in a newer version of Excel. Learn more: https://go.microsoft.com/fwlink/?linkid=870924
Comment:
    Note: Used proven reserves and converted to contained metal. Source: Euro Manganese. Link: https://www.mn25.ca/post/emn-announces-positive-feasibility-study-base-case-results-for-the-chvaletice-manganese-project</t>
      </text>
    </comment>
    <comment ref="G14" authorId="2" shapeId="0" xr:uid="{C879A981-DC74-4962-9E7B-8EA8A0015983}">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 ref="AY14" authorId="3" shapeId="0" xr:uid="{754FBB49-8846-43AB-B1EF-5B7DEB9903FE}">
      <text>
        <t>[Threaded comment]
Your version of Excel allows you to read this threaded comment; however, any edits to it will get removed if the file is opened in a newer version of Excel. Learn more: https://go.microsoft.com/fwlink/?linkid=870924
Comment:
    Note: Keliber DFS lists reserves of 12.7 Mt. This would be even larger than Chile. Converted to contained lithium using ore grade of 0.92% Li2O and conversion factor of 0.464. Source: Sibanye Stillwater. Link: https://thevault.exchange/?get_group_doc=245/1669636132-ssw-presentation-keliber-approval-event-28Nov2022.pdf</t>
      </text>
    </comment>
    <comment ref="AC16" authorId="4" shapeId="0" xr:uid="{9B36066D-1B27-44DB-AE0B-8A27CAFDC2C9}">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 ref="AC22" authorId="5" shapeId="0" xr:uid="{2529D475-1BCA-48D8-9451-1052A56FAE35}">
      <text>
        <t>[Threaded comment]
Your version of Excel allows you to read this threaded comment; however, any edits to it will get removed if the file is opened in a newer version of Excel. Learn more: https://go.microsoft.com/fwlink/?linkid=870924
Comment:
    Removed as per Peng's suggestion.</t>
      </text>
    </comment>
    <comment ref="AI22" authorId="6" shapeId="0" xr:uid="{66FEDB0F-AE14-407B-B54F-9B5017CE725F}">
      <text>
        <t>[Threaded comment]
Your version of Excel allows you to read this threaded comment; however, any edits to it will get removed if the file is opened in a newer version of Excel. Learn more: https://go.microsoft.com/fwlink/?linkid=870924
Comment:
    Removed as per Peng's suggestion.</t>
      </text>
    </comment>
    <comment ref="AY23" authorId="7" shapeId="0" xr:uid="{C9705433-00B9-40B1-9D29-6ABF187B1B83}">
      <text>
        <t>[Threaded comment]
Your version of Excel allows you to read this threaded comment; however, any edits to it will get removed if the file is opened in a newer version of Excel. Learn more: https://go.microsoft.com/fwlink/?linkid=870924
Comment:
    Note: Estimated reserves of 0.5MT (KA). Cornish Lithium project is only at the scoping stage. No mention of reserves, only resource. Source: Cornish Lithium. Link: https://cornishlithium.com/wp-content/uploads/2023/05/Corp_Overview_May_23_v1.pdf</t>
      </text>
    </comment>
    <comment ref="AY24" authorId="8" shapeId="0" xr:uid="{AF0B50F2-E45E-439F-B5BB-C05A1C1C5099}">
      <text>
        <t>[Threaded comment]
Your version of Excel allows you to read this threaded comment; however, any edits to it will get removed if the file is opened in a newer version of Excel. Learn more: https://go.microsoft.com/fwlink/?linkid=870924
Comment:
    Note: Reserves from USGS 2022. Manolo Project link is from 2020. Once you convert to contained lithium, it is only 334,000. Last year's results are better. Link: https://static1.squarespace.com/static/5934d2ae6b8f5beeb5ba23f3/t/5f03fe7b5b6cfa0aa7b7d8ac/1594097315695/20200421+-+DFS+Manono+Lithium+and+Tin+Project+Announcement.pdf.</t>
      </text>
    </comment>
    <comment ref="BU24" authorId="9" shapeId="0" xr:uid="{6209FEBB-0623-4074-8E00-BBBFADF61373}">
      <text>
        <t>[Threaded comment]
Your version of Excel allows you to read this threaded comment; however, any edits to it will get removed if the file is opened in a newer version of Excel. Learn more: https://go.microsoft.com/fwlink/?linkid=870924
Comment:
    Source: S&amp;P Global/DRC Chamber of Mines. Link: https://www.spglobal.com/commodityinsights/en/market-insights/latest-news/metals/120120-chinese-dominance-of-drc-mining-sector-increases-economic-dependence-mines-chamber</t>
      </text>
    </comment>
    <comment ref="G26" authorId="10" shapeId="0" xr:uid="{157607A1-AE8E-4328-BD49-CCE6B33A4F7F}">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 ref="M26" authorId="11" shapeId="0" xr:uid="{CD74A3D0-0A6D-443C-A2F5-7845F75BBCBB}">
      <text>
        <t>[Threaded comment]
Your version of Excel allows you to read this threaded comment; however, any edits to it will get removed if the file is opened in a newer version of Excel. Learn more: https://go.microsoft.com/fwlink/?linkid=870924
Comment:
    Note: Byproduct nature of cobalt means it is not officially reported. Estimated to be higher than the US. Source: Business Media. Link: https://businessmediamags.co.za/mining/sa-mining/the-dark-side-of-cobalt-mining/#:~:text=In%202020%2C%20South%20Africa%20produced,roughly%20140%20000%20metric%20tonnes.</t>
      </text>
    </comment>
    <comment ref="AC27" authorId="12" shapeId="0" xr:uid="{94BCEDE9-30F5-46AC-8B10-F6F99E04508E}">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 ref="G28" authorId="13" shapeId="0" xr:uid="{E2C5C2DF-BB2E-4EBD-9D16-EBA3C09A17A3}">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 ref="AY28" authorId="14" shapeId="0" xr:uid="{C454297B-60C9-478E-A70C-0909B7CB90B6}">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 ref="AC29" authorId="15" shapeId="0" xr:uid="{1DDCB1B4-798E-4091-93D6-502A3F1FCEB2}">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 ref="BU29" authorId="16" shapeId="0" xr:uid="{79203153-5E43-4082-A0B5-A9F7CA62EC65}">
      <text>
        <t>[Threaded comment]
Your version of Excel allows you to read this threaded comment; however, any edits to it will get removed if the file is opened in a newer version of Excel. Learn more: https://go.microsoft.com/fwlink/?linkid=870924
Comment:
    Note: Still listed as resources. Because the PFS is complete can we assume reserves? Converted to contained metal. Source: South32. Link: https://www.aspecthuntley.com.au/asxdata/20230526/pdf/02669816.pdf</t>
      </text>
    </comment>
    <comment ref="G32" authorId="17" shapeId="0" xr:uid="{312B4AEC-C6CA-41CD-850C-B6531A0010FC}">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 ref="G33" authorId="18" shapeId="0" xr:uid="{03C85FF2-C430-4AF6-8909-59743E508089}">
      <text>
        <t>[Threaded comment]
Your version of Excel allows you to read this threaded comment; however, any edits to it will get removed if the file is opened in a newer version of Excel. Learn more: https://go.microsoft.com/fwlink/?linkid=870924
Comment:
    Source: CORFO. Link: https://www.corfo.cl/sites/Satellite?blobcol=urldata&amp;blobkey=id&amp;blobtable=MungoBlobs&amp;blobwhere=1475166637554&amp;ssbinary=true</t>
      </text>
    </comment>
    <comment ref="AC42" authorId="19" shapeId="0" xr:uid="{1E8116E4-BFCF-4B2A-BC0C-3F0374B1F199}">
      <text>
        <t>[Threaded comment]
Your version of Excel allows you to read this threaded comment; however, any edits to it will get removed if the file is opened in a newer version of Excel. Learn more: https://go.microsoft.com/fwlink/?linkid=870924
Comment:
    Note: reserves from USGS 2022.</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tc={E1489270-3D67-46B4-A5E9-B07016CE3A86}</author>
    <author>tc={0F083C32-5645-4AD0-B6A9-049973A5DA92}</author>
  </authors>
  <commentList>
    <comment ref="AI15" authorId="0" shapeId="0" xr:uid="{E1489270-3D67-46B4-A5E9-B07016CE3A86}">
      <text>
        <t>[Threaded comment]
Your version of Excel allows you to read this threaded comment; however, any edits to it will get removed if the file is opened in a newer version of Excel. Learn more: https://go.microsoft.com/fwlink/?linkid=870924
Comment:
    Million square meters.</t>
      </text>
    </comment>
    <comment ref="AL15" authorId="1" shapeId="0" xr:uid="{0F083C32-5645-4AD0-B6A9-049973A5DA92}">
      <text>
        <t>[Threaded comment]
Your version of Excel allows you to read this threaded comment; however, any edits to it will get removed if the file is opened in a newer version of Excel. Learn more: https://go.microsoft.com/fwlink/?linkid=870924
Comment:
    Million square meters.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tc={91E186EF-D197-4F46-8BBB-BE5D7FE824F5}</author>
    <author>tc={4FB6516D-7E5A-44B7-8E62-22408E13C137}</author>
    <author>tc={288B634D-9F55-405E-9996-CA7763A5DED6}</author>
  </authors>
  <commentList>
    <comment ref="AL25" authorId="0" shapeId="0" xr:uid="{91E186EF-D197-4F46-8BBB-BE5D7FE824F5}">
      <text>
        <t>[Threaded comment]
Your version of Excel allows you to read this threaded comment; however, any edits to it will get removed if the file is opened in a newer version of Excel. Learn more: https://go.microsoft.com/fwlink/?linkid=870924
Comment:
    PROXY: Average of DRC and South Africa.</t>
      </text>
    </comment>
    <comment ref="AL30" authorId="1" shapeId="0" xr:uid="{4FB6516D-7E5A-44B7-8E62-22408E13C137}">
      <text>
        <t>[Threaded comment]
Your version of Excel allows you to read this threaded comment; however, any edits to it will get removed if the file is opened in a newer version of Excel. Learn more: https://go.microsoft.com/fwlink/?linkid=870924
Comment:
    PROXY: Average of Bolivia, Brazil and Chile.</t>
      </text>
    </comment>
    <comment ref="AL36" authorId="2" shapeId="0" xr:uid="{288B634D-9F55-405E-9996-CA7763A5DED6}">
      <text>
        <t>[Threaded comment]
Your version of Excel allows you to read this threaded comment; however, any edits to it will get removed if the file is opened in a newer version of Excel. Learn more: https://go.microsoft.com/fwlink/?linkid=870924
Comment:
    PROXY: Average of China and Japan.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tc={532554AC-F002-4F8A-AF97-04A197DCD95E}</author>
    <author>tc={E29A3FD0-7FB3-48D0-9DBE-ECBC4BE6B4F8}</author>
    <author>tc={0CBE8586-BA70-40DA-90DD-14A5A513DF28}</author>
    <author>tc={2AD216F2-C130-436C-AB8F-86698784FF4E}</author>
    <author>tc={DEC745AB-AC41-4667-B881-537B104D3216}</author>
    <author>tc={2273268E-E48B-4A5C-89C0-5D926734C16D}</author>
    <author>tc={12EB1E7C-8834-4EFF-9D3B-2EEB288C7317}</author>
    <author>tc={D7717482-3412-4292-A208-D6E4A4498AA0}</author>
    <author>tc={AEABA53D-FF8D-46A8-B5CB-A1786E943A51}</author>
  </authors>
  <commentList>
    <comment ref="D23" authorId="0" shapeId="0" xr:uid="{532554AC-F002-4F8A-AF97-04A197DCD95E}">
      <text>
        <t>[Threaded comment]
Your version of Excel allows you to read this threaded comment; however, any edits to it will get removed if the file is opened in a newer version of Excel. Learn more: https://go.microsoft.com/fwlink/?linkid=870924
Comment:
    PROXY: Average of Northern Ireland and Republic of Ireland.</t>
      </text>
    </comment>
    <comment ref="P24" authorId="1" shapeId="0" xr:uid="{E29A3FD0-7FB3-48D0-9DBE-ECBC4BE6B4F8}">
      <text>
        <t>[Threaded comment]
Your version of Excel allows you to read this threaded comment; however, any edits to it will get removed if the file is opened in a newer version of Excel. Learn more: https://go.microsoft.com/fwlink/?linkid=870924
Comment:
    PROXY: Average of all African countries.</t>
      </text>
    </comment>
    <comment ref="AD24" authorId="2" shapeId="0" xr:uid="{0CBE8586-BA70-40DA-90DD-14A5A513DF28}">
      <text>
        <t>[Threaded comment]
Your version of Excel allows you to read this threaded comment; however, any edits to it will get removed if the file is opened in a newer version of Excel. Learn more: https://go.microsoft.com/fwlink/?linkid=870924
Comment:
    PROXY: Average of Angola, Cameroon and Cote d'Ivoire.</t>
      </text>
    </comment>
    <comment ref="AL24" authorId="3" shapeId="0" xr:uid="{2AD216F2-C130-436C-AB8F-86698784FF4E}">
      <text>
        <t>[Threaded comment]
Your version of Excel allows you to read this threaded comment; however, any edits to it will get removed if the file is opened in a newer version of Excel. Learn more: https://go.microsoft.com/fwlink/?linkid=870924
Comment:
    PROXY: Average of Angola, Cameroon and Cote d'Ivoire.</t>
      </text>
    </comment>
    <comment ref="AP24" authorId="4" shapeId="0" xr:uid="{DEC745AB-AC41-4667-B881-537B104D3216}">
      <text>
        <t>[Threaded comment]
Your version of Excel allows you to read this threaded comment; however, any edits to it will get removed if the file is opened in a newer version of Excel. Learn more: https://go.microsoft.com/fwlink/?linkid=870924
Comment:
    PROXY: Average of Angola, Cameroon and Cote d'Ivoire.</t>
      </text>
    </comment>
    <comment ref="AT24" authorId="5" shapeId="0" xr:uid="{2273268E-E48B-4A5C-89C0-5D926734C16D}">
      <text>
        <t>[Threaded comment]
Your version of Excel allows you to read this threaded comment; however, any edits to it will get removed if the file is opened in a newer version of Excel. Learn more: https://go.microsoft.com/fwlink/?linkid=870924
Comment:
    PROXY: Average of Angola, Cameroon and Cote d'Ivoire.</t>
      </text>
    </comment>
    <comment ref="P31" authorId="6" shapeId="0" xr:uid="{12EB1E7C-8834-4EFF-9D3B-2EEB288C7317}">
      <text>
        <t>[Threaded comment]
Your version of Excel allows you to read this threaded comment; however, any edits to it will get removed if the file is opened in a newer version of Excel. Learn more: https://go.microsoft.com/fwlink/?linkid=870924
Comment:
    PROXY: Average of all South American countries.</t>
      </text>
    </comment>
    <comment ref="AT31" authorId="7" shapeId="0" xr:uid="{D7717482-3412-4292-A208-D6E4A4498AA0}">
      <text>
        <t>[Threaded comment]
Your version of Excel allows you to read this threaded comment; however, any edits to it will get removed if the file is opened in a newer version of Excel. Learn more: https://go.microsoft.com/fwlink/?linkid=870924
Comment:
    PROXY: Average of Argentina, Brazil and Chile.</t>
      </text>
    </comment>
    <comment ref="AT34" authorId="8" shapeId="0" xr:uid="{AEABA53D-FF8D-46A8-B5CB-A1786E943A51}">
      <text>
        <t>[Threaded comment]
Your version of Excel allows you to read this threaded comment; however, any edits to it will get removed if the file is opened in a newer version of Excel. Learn more: https://go.microsoft.com/fwlink/?linkid=870924
Comment:
    SOURCE: https://cset.georgetown.edu/article/the-global-distribution-of-stem-graduates-which-countries-lead-the-way/.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<sst xmlns="http://schemas.openxmlformats.org/spreadsheetml/2006/main" count="3818" uniqueCount="680">
  <si>
    <t>Subject to terms and conditions</t>
  </si>
  <si>
    <t>&lt;source&gt;</t>
  </si>
  <si>
    <t>&lt;units&gt;</t>
  </si>
  <si>
    <t>Unit</t>
  </si>
  <si>
    <t>Total</t>
  </si>
  <si>
    <t>Europe</t>
  </si>
  <si>
    <t>China</t>
  </si>
  <si>
    <t>India</t>
  </si>
  <si>
    <t>Japan</t>
  </si>
  <si>
    <t>Australia</t>
  </si>
  <si>
    <t>Indonesia</t>
  </si>
  <si>
    <t>Brazil</t>
  </si>
  <si>
    <t>Mexico</t>
  </si>
  <si>
    <t>Refining</t>
  </si>
  <si>
    <t>South Korea</t>
  </si>
  <si>
    <t>Date</t>
  </si>
  <si>
    <t>Contact</t>
  </si>
  <si>
    <t>Description</t>
  </si>
  <si>
    <t>Contents</t>
  </si>
  <si>
    <t>Dataset</t>
  </si>
  <si>
    <t>Units</t>
  </si>
  <si>
    <t>Source</t>
  </si>
  <si>
    <t>Year</t>
  </si>
  <si>
    <t>Country</t>
  </si>
  <si>
    <t>United Kingdom</t>
  </si>
  <si>
    <t>Germany</t>
  </si>
  <si>
    <t>France</t>
  </si>
  <si>
    <t>Poland</t>
  </si>
  <si>
    <t>Sweden</t>
  </si>
  <si>
    <t>Canada</t>
  </si>
  <si>
    <t>support.bnef@bloomberg.net</t>
  </si>
  <si>
    <t xml:space="preserve">Bloomberg Terminal: press &lt;Help&gt; key twice </t>
  </si>
  <si>
    <t>South Africa</t>
  </si>
  <si>
    <t>Lithium</t>
  </si>
  <si>
    <t>Cobalt</t>
  </si>
  <si>
    <t>Nickel</t>
  </si>
  <si>
    <t>Graphite</t>
  </si>
  <si>
    <t>Manganese</t>
  </si>
  <si>
    <t>Copyright and Disclaimer</t>
  </si>
  <si>
    <t>Chile</t>
  </si>
  <si>
    <t>Africa</t>
  </si>
  <si>
    <t>Resource</t>
  </si>
  <si>
    <t>kmt</t>
  </si>
  <si>
    <t>kmt/year</t>
  </si>
  <si>
    <t>Battery components/cells</t>
  </si>
  <si>
    <t>l/year</t>
  </si>
  <si>
    <t>m2/year</t>
  </si>
  <si>
    <t>Electricity cost</t>
  </si>
  <si>
    <t>Downstream</t>
  </si>
  <si>
    <t>Passenger EV</t>
  </si>
  <si>
    <t>GWh</t>
  </si>
  <si>
    <t>Commercial EV</t>
  </si>
  <si>
    <t>Stationary Storage</t>
  </si>
  <si>
    <t>E-bus</t>
  </si>
  <si>
    <t>2 &amp; 3 Wheelers</t>
  </si>
  <si>
    <t>Hungary</t>
  </si>
  <si>
    <t>North America</t>
  </si>
  <si>
    <t>Thailand</t>
  </si>
  <si>
    <t>Vietnam</t>
  </si>
  <si>
    <t>Argentina</t>
  </si>
  <si>
    <t>Electrolyte</t>
  </si>
  <si>
    <t>Cathode</t>
  </si>
  <si>
    <t>Anode</t>
  </si>
  <si>
    <t>Seperator</t>
  </si>
  <si>
    <t>Cell capacity</t>
  </si>
  <si>
    <t>Raw data</t>
  </si>
  <si>
    <t>Various</t>
  </si>
  <si>
    <t>BloombergNEF</t>
  </si>
  <si>
    <t>Demand</t>
  </si>
  <si>
    <t>Cobalt (2020)</t>
  </si>
  <si>
    <t>Cobalt (2025)</t>
  </si>
  <si>
    <t>Lithium (2020)</t>
  </si>
  <si>
    <t>Lithium (2025)</t>
  </si>
  <si>
    <t>Manganese (2020)</t>
  </si>
  <si>
    <t>Manganese (2025)</t>
  </si>
  <si>
    <t>Refinery</t>
  </si>
  <si>
    <t>Precursor processing</t>
  </si>
  <si>
    <t>Infrastructure Score</t>
  </si>
  <si>
    <t>National Champions</t>
  </si>
  <si>
    <t>Raw materials</t>
  </si>
  <si>
    <t>Environment</t>
  </si>
  <si>
    <t>D.R.C.</t>
  </si>
  <si>
    <t>Philippines</t>
  </si>
  <si>
    <t>Finland</t>
  </si>
  <si>
    <t>U.S.A</t>
  </si>
  <si>
    <t>gCO2/kWh</t>
  </si>
  <si>
    <t>South America</t>
  </si>
  <si>
    <t>Continent</t>
  </si>
  <si>
    <t>Mining capacity</t>
  </si>
  <si>
    <t>Asia-Pacific 1</t>
  </si>
  <si>
    <t>Asia-Pacific 2</t>
  </si>
  <si>
    <t>2020 BAU</t>
  </si>
  <si>
    <t>2030 BAU</t>
  </si>
  <si>
    <t>Power Grid Carbon Intensity</t>
  </si>
  <si>
    <t xml:space="preserve">Water scarcity </t>
  </si>
  <si>
    <t>GLOBAL</t>
  </si>
  <si>
    <t>$/MWh</t>
  </si>
  <si>
    <t>% of GDP</t>
  </si>
  <si>
    <t>Regulatory environment</t>
  </si>
  <si>
    <t>% of GDP (last year available)</t>
  </si>
  <si>
    <t>R&amp;D Spend ALL fields</t>
  </si>
  <si>
    <t>% of tertiary graduates in STEM</t>
  </si>
  <si>
    <t>STEM education</t>
  </si>
  <si>
    <t>Name Key Companies</t>
  </si>
  <si>
    <t>World Bank  LPI score (2018)</t>
  </si>
  <si>
    <t>Mining/
extraction*</t>
  </si>
  <si>
    <t>Fraser Institute Score</t>
  </si>
  <si>
    <t>World Bank Ease of Doing Business Report</t>
  </si>
  <si>
    <t>Manufacturing/Industry</t>
  </si>
  <si>
    <t>Openess to Trade</t>
  </si>
  <si>
    <t>Openess to Investment</t>
  </si>
  <si>
    <t>Heritage "Trade Freedom" Score  (2020)</t>
  </si>
  <si>
    <t>MIN</t>
  </si>
  <si>
    <t>MAX</t>
  </si>
  <si>
    <t>OECD FDI Regulatory Restrictiveness Index (2019) - Secondary</t>
  </si>
  <si>
    <t>IP and Innovation</t>
  </si>
  <si>
    <t>WIPO Global Innovation Index (GII) - Knowledge creation score</t>
  </si>
  <si>
    <t>Innovation</t>
  </si>
  <si>
    <t>Data field</t>
  </si>
  <si>
    <t>Category</t>
  </si>
  <si>
    <t>score</t>
  </si>
  <si>
    <t>Infrastructure</t>
  </si>
  <si>
    <t>Notes</t>
  </si>
  <si>
    <t>EV demand for batteries</t>
  </si>
  <si>
    <t>BloombergNEF EVO 2020</t>
  </si>
  <si>
    <t>2020, 2025</t>
  </si>
  <si>
    <t>Secondary sector index</t>
  </si>
  <si>
    <t>For countries with direct forecast, use EVO numbers. For countries w/o forecast, ….</t>
  </si>
  <si>
    <t>OECD FDI Regulatory Restrictiveness Index</t>
  </si>
  <si>
    <t>Heritage "Trade Freedom" Score</t>
  </si>
  <si>
    <t>last year available</t>
  </si>
  <si>
    <t>%</t>
  </si>
  <si>
    <t>Battery components/
cells</t>
  </si>
  <si>
    <t>WRI Aqueduct</t>
  </si>
  <si>
    <t xml:space="preserve"> score for Industrial</t>
  </si>
  <si>
    <t>WRI Aqueduct score for Industrial</t>
  </si>
  <si>
    <t>BloombergNEF NEO 2020</t>
  </si>
  <si>
    <t>BloombergNEF Climatescope 2019</t>
  </si>
  <si>
    <t xml:space="preserve">BloombergNEF </t>
  </si>
  <si>
    <t>Climatescope 2019 (for emerging markets) and BNEF country pages for developed countries</t>
  </si>
  <si>
    <t>2018/19</t>
  </si>
  <si>
    <t>OECD GDP spending on R&amp;D</t>
  </si>
  <si>
    <t>Gross domestic spending on R&amp;D is defined as the total expenditure (current and capital) on R&amp;D carried out by all resident companies, research institutes, university and government laboratories, etc., in a country. It includes R&amp;D funded from abroad, but excludes domestic funds for R&amp;D performed outside the domestic economy. This indicator is measured in USD constant prices using 2010 base year and Purchasing Power Parities (PPPs) and as percentage of GDP</t>
  </si>
  <si>
    <t>2019, 2025</t>
  </si>
  <si>
    <t>Policy Perception Index</t>
  </si>
  <si>
    <t>World Bank Education Statistics</t>
  </si>
  <si>
    <t>Knowledge creation score = patents by original as a share of GDP, PCT patents by origin as a share of GDP, utility models by origin, science and technical articles, citable documents</t>
  </si>
  <si>
    <t>Czech Republic</t>
  </si>
  <si>
    <t>Class 1 Nickel (2025)</t>
  </si>
  <si>
    <t>Class 1 Nickel (2020)</t>
  </si>
  <si>
    <t>Natural Graphite (2020)</t>
  </si>
  <si>
    <t>Natural Graphite (2025)</t>
  </si>
  <si>
    <t>mt/year</t>
  </si>
  <si>
    <t>Electrolyte salt</t>
  </si>
  <si>
    <t>Electrolyte solution</t>
  </si>
  <si>
    <t>ton/year</t>
  </si>
  <si>
    <t>Regulations, Infrastructure and Innovation (RII)</t>
  </si>
  <si>
    <t>Total Demand</t>
  </si>
  <si>
    <t>WRI 2020 Rank</t>
  </si>
  <si>
    <t>Average</t>
  </si>
  <si>
    <t>Electricity cost rank</t>
  </si>
  <si>
    <t>LPI score rank</t>
  </si>
  <si>
    <t>R&amp;D rank</t>
  </si>
  <si>
    <t>STEM rank</t>
  </si>
  <si>
    <t>IP rank</t>
  </si>
  <si>
    <t>Doing buiness rank</t>
  </si>
  <si>
    <t>Trade freedom rank</t>
  </si>
  <si>
    <t>Overall rank</t>
  </si>
  <si>
    <t>Regional demand</t>
  </si>
  <si>
    <t>E-bus 2020 rank</t>
  </si>
  <si>
    <t>E-bus 2025 rank</t>
  </si>
  <si>
    <t>RII score</t>
  </si>
  <si>
    <t>RII rank</t>
  </si>
  <si>
    <t>Battery man.</t>
  </si>
  <si>
    <t>RII</t>
  </si>
  <si>
    <t>Min. scoring</t>
  </si>
  <si>
    <t>Max. scoring</t>
  </si>
  <si>
    <t>Dummmy sheet</t>
  </si>
  <si>
    <t>WRI 2025 Rank</t>
  </si>
  <si>
    <t>Climatescope cummulative  capacity tracker</t>
  </si>
  <si>
    <t>Mine policy rank</t>
  </si>
  <si>
    <t>Environmental health score</t>
  </si>
  <si>
    <t>Environmental health rank</t>
  </si>
  <si>
    <t>Biodiversity score</t>
  </si>
  <si>
    <t>Biodiversity rank</t>
  </si>
  <si>
    <t>Ecosystem services score</t>
  </si>
  <si>
    <t>Ecosystem services rank</t>
  </si>
  <si>
    <t>Year*</t>
  </si>
  <si>
    <t>Country Data</t>
  </si>
  <si>
    <t>View Rank*</t>
  </si>
  <si>
    <t>Indicator</t>
  </si>
  <si>
    <t>Sub-Indicator</t>
  </si>
  <si>
    <t>Data</t>
  </si>
  <si>
    <t>Data Source</t>
  </si>
  <si>
    <t>Raw materials</t>
    <phoneticPr fontId="57" type="noConversion"/>
  </si>
  <si>
    <t>Natural Graphite</t>
  </si>
  <si>
    <t>Battery components/cells</t>
    <phoneticPr fontId="57" type="noConversion"/>
  </si>
  <si>
    <t>Electrolyte solution</t>
    <phoneticPr fontId="57" type="noConversion"/>
  </si>
  <si>
    <t>Anode</t>
    <phoneticPr fontId="57" type="noConversion"/>
  </si>
  <si>
    <t>Cell capacity</t>
    <phoneticPr fontId="57" type="noConversion"/>
  </si>
  <si>
    <t>Raw materials rank</t>
  </si>
  <si>
    <t>Transparency</t>
  </si>
  <si>
    <t>Renewable policy score BNEF (2020)</t>
  </si>
  <si>
    <t>Renewable policy score BNEF rank (2020/2025)</t>
  </si>
  <si>
    <t>Regulations, Infrastructure and Innovation (RII)</t>
    <phoneticPr fontId="57" type="noConversion"/>
  </si>
  <si>
    <t>Downstream</t>
    <phoneticPr fontId="57" type="noConversion"/>
  </si>
  <si>
    <t>Regional demand</t>
    <phoneticPr fontId="57" type="noConversion"/>
  </si>
  <si>
    <t>Country</t>
    <phoneticPr fontId="57" type="noConversion"/>
  </si>
  <si>
    <r>
      <t>Y</t>
    </r>
    <r>
      <rPr>
        <sz val="10"/>
        <rFont val="Arial"/>
        <family val="2"/>
      </rPr>
      <t>ear</t>
    </r>
    <phoneticPr fontId="57" type="noConversion"/>
  </si>
  <si>
    <t>Dict</t>
    <phoneticPr fontId="57" type="noConversion"/>
  </si>
  <si>
    <t>Score</t>
    <phoneticPr fontId="57" type="noConversion"/>
  </si>
  <si>
    <t>Score offset</t>
    <phoneticPr fontId="57" type="noConversion"/>
  </si>
  <si>
    <t>Score / rank</t>
    <phoneticPr fontId="57" type="noConversion"/>
  </si>
  <si>
    <t>Total demand</t>
    <phoneticPr fontId="57" type="noConversion"/>
  </si>
  <si>
    <t>Demand score</t>
    <phoneticPr fontId="57" type="noConversion"/>
  </si>
  <si>
    <t>Environment score</t>
    <phoneticPr fontId="57" type="noConversion"/>
  </si>
  <si>
    <t>Battery score</t>
  </si>
  <si>
    <t>Raw material score</t>
    <phoneticPr fontId="57" type="noConversion"/>
  </si>
  <si>
    <t>Ranking</t>
    <phoneticPr fontId="57" type="noConversion"/>
  </si>
  <si>
    <t>Country offset</t>
    <phoneticPr fontId="57" type="noConversion"/>
  </si>
  <si>
    <t>Year offset</t>
    <phoneticPr fontId="57" type="noConversion"/>
  </si>
  <si>
    <t>Overall</t>
    <phoneticPr fontId="57" type="noConversion"/>
  </si>
  <si>
    <t>Indicator Selected</t>
  </si>
  <si>
    <t>Sub-indicator Selected</t>
  </si>
  <si>
    <t>Overall score</t>
    <phoneticPr fontId="57" type="noConversion"/>
  </si>
  <si>
    <t>min</t>
    <phoneticPr fontId="57" type="noConversion"/>
  </si>
  <si>
    <t>Ranking order</t>
    <phoneticPr fontId="57" type="noConversion"/>
  </si>
  <si>
    <t>max</t>
  </si>
  <si>
    <t>min</t>
  </si>
  <si>
    <t>Environmental performance</t>
  </si>
  <si>
    <t>Peng Xu</t>
    <phoneticPr fontId="57" type="noConversion"/>
  </si>
  <si>
    <t>score</t>
    <phoneticPr fontId="57" type="noConversion"/>
  </si>
  <si>
    <t>Global Max</t>
  </si>
  <si>
    <t>Overview</t>
    <phoneticPr fontId="57" type="noConversion"/>
  </si>
  <si>
    <t>Ranking</t>
  </si>
  <si>
    <t xml:space="preserve">Demand score </t>
  </si>
  <si>
    <t>Demand rank</t>
  </si>
  <si>
    <t xml:space="preserve">Demand rank </t>
  </si>
  <si>
    <t xml:space="preserve">Demand Score </t>
  </si>
  <si>
    <t xml:space="preserve">Overall score </t>
  </si>
  <si>
    <t>Overall score</t>
  </si>
  <si>
    <t>Rank</t>
  </si>
  <si>
    <t>Openess to  investment rank</t>
  </si>
  <si>
    <t>Environment score</t>
  </si>
  <si>
    <t>Environment rank</t>
  </si>
  <si>
    <t xml:space="preserve">Carbon rank </t>
  </si>
  <si>
    <t>Battery rank</t>
  </si>
  <si>
    <t>million m2/year</t>
  </si>
  <si>
    <t>Renewable Energy</t>
  </si>
  <si>
    <t>Raw materials overall score</t>
  </si>
  <si>
    <t xml:space="preserve">Mining </t>
  </si>
  <si>
    <t># of Countries</t>
  </si>
  <si>
    <t>How to interpret score</t>
  </si>
  <si>
    <t>Metals weightings</t>
  </si>
  <si>
    <t>Trade freedom is a composite measure of the absence of tariff and non-tariff barriers that affect imports and exports of goods and services. The trade freedom score is based on two inputs: The trade-weighted average tariff rate and non-tariff barriers (NTBs).</t>
  </si>
  <si>
    <t>Measures regulatory barriers to starting businesses, tax transparency, obtaining building permits, obtaining utilities, enforcing contracts, etc.</t>
  </si>
  <si>
    <t>Yale Environmental Performance Index</t>
  </si>
  <si>
    <t>Renewable energy policy support</t>
  </si>
  <si>
    <t>Ecosystem services</t>
  </si>
  <si>
    <t>Combination of air quality, sanitation and drinking water, presence of heavy metals, and waste management</t>
  </si>
  <si>
    <t>Amount of loss of tree cover, grassland, and wetland - as placeholder for impact of industrial and mining activity on land use and ecosystem vitality.</t>
  </si>
  <si>
    <t>Other transport demand for batteries</t>
  </si>
  <si>
    <t>Stationary storage demand for batteries</t>
  </si>
  <si>
    <t xml:space="preserve">Long Term Energy Storage Outlook </t>
  </si>
  <si>
    <t>Ranking Countries</t>
  </si>
  <si>
    <t>How to Rank Countries?</t>
  </si>
  <si>
    <t>Raw material</t>
  </si>
  <si>
    <t>Environmental health</t>
  </si>
  <si>
    <t>Climatescope renewable energy policy support score indicates a country's policy supports for the development of renewable energy, both in terms of installed capacity as well as manufacturing base. It also encompasses a country's climate change policies and transparency around grid operations.</t>
  </si>
  <si>
    <t>Openness to Trade</t>
  </si>
  <si>
    <t>Openness to Investment</t>
  </si>
  <si>
    <t>Separator</t>
  </si>
  <si>
    <t>BloombergNEF Climatescope 2019, BloombergNEF country specific reports</t>
  </si>
  <si>
    <t>BNEF forecasts country-level power grid adoption, including generation and capacity mix changes, which projects evolution of the overall power grid carbon intensity over time.</t>
  </si>
  <si>
    <t xml:space="preserve"> The LPI is an interactive benchmarking tool created to help countries identify the challenges and opportunities they face in their performance on trade logistics and what they can do to improve their performance. For this, we use each country's LPI "infrastructure" score.</t>
  </si>
  <si>
    <t>World Bank Logistics Performance Index (LPI)</t>
  </si>
  <si>
    <t>U.S. Geological Survey (USGS)</t>
  </si>
  <si>
    <t>The Climatescope 2019 methodology includes 167 indicators and sub-indicators split into three key topic areas that encompass each country’s previous accomplishments, current investment environment, and future opportunities for clean energy growth. For developed countries that are not capture in Climatescope, we rely on BNEF country-specific analysis.</t>
  </si>
  <si>
    <t>Note: the selected country will be highlighted</t>
  </si>
  <si>
    <t xml:space="preserve">Note: the selected ranking indicator will be highlighted. The indicators which are not available in the selected country will be greyed out. </t>
  </si>
  <si>
    <t>Factor</t>
  </si>
  <si>
    <t xml:space="preserve"> - access by Alt+F11; unlock VBAProject; click on usageTracker; in Properties window; set Visible to 1 - xlSheetVisible</t>
  </si>
  <si>
    <t>Note: once set up, this sheet subsequently 'very-hides' itself on re-opening the workbook.</t>
  </si>
  <si>
    <t xml:space="preserve">    ... and make sure it matches the similarly updated 'Current version' field on the Insight record on staff.</t>
  </si>
  <si>
    <t xml:space="preserve">   If you update and republish in future, you MUST update the Model Version on this sheet…</t>
  </si>
  <si>
    <t>11. *** Subsequent model updates ***</t>
  </si>
  <si>
    <t xml:space="preserve">   When you re-open, you should briefly see a message in the bottom status bar, and this sheet should be hidden</t>
  </si>
  <si>
    <t>10. Save your workbook.</t>
  </si>
  <si>
    <t xml:space="preserve">          Note: use the same password for protecting your worksheets as required.</t>
  </si>
  <si>
    <t xml:space="preserve">     ...and specify the VBA password for your model (ask the modelling team, who will generate for you)</t>
  </si>
  <si>
    <t>INFO: Server status is:  204</t>
  </si>
  <si>
    <t xml:space="preserve">     Check the option ‘Lock project for viewing’…</t>
  </si>
  <si>
    <t xml:space="preserve">           then: VBAProject Properties...  and then select the 'Protection' tab</t>
  </si>
  <si>
    <t xml:space="preserve">INFO: trying the default options </t>
  </si>
  <si>
    <t xml:space="preserve">     In the Project Explorer window (Alt+F11), right click your workbook (VBAProject xxxx) </t>
  </si>
  <si>
    <t>9. You MUST password-protect the workbook</t>
  </si>
  <si>
    <t>User is Bloomberg internal</t>
  </si>
  <si>
    <t>8. Press Clear on this sheet, then Test. Check the output and verify that the model can connect OK to the BNEF server</t>
  </si>
  <si>
    <t>Successful server connect, response: 204</t>
  </si>
  <si>
    <t xml:space="preserve">   - initial version is 1.0.0; the Model ID is the Insight ID from the BNEF Insight record</t>
  </si>
  <si>
    <t>7. Insert model Insight ID and model version into fields in table to left.</t>
  </si>
  <si>
    <t xml:space="preserve">      and try again. Turn this option off afterwards.</t>
  </si>
  <si>
    <r>
      <t xml:space="preserve">    - if this errors (at </t>
    </r>
    <r>
      <rPr>
        <i/>
        <sz val="11"/>
        <color theme="1"/>
        <rFont val="Arial"/>
        <family val="2"/>
      </rPr>
      <t>WinHttp.WinHttpRequest</t>
    </r>
    <r>
      <rPr>
        <sz val="11"/>
        <color theme="1"/>
        <rFont val="Arial"/>
        <family val="2"/>
      </rPr>
      <t xml:space="preserve">), temporarily turn </t>
    </r>
    <r>
      <rPr>
        <b/>
        <sz val="11"/>
        <color theme="1"/>
        <rFont val="Arial"/>
        <family val="2"/>
      </rPr>
      <t>ON</t>
    </r>
    <r>
      <rPr>
        <sz val="11"/>
        <color theme="1"/>
        <rFont val="Arial"/>
        <family val="2"/>
      </rPr>
      <t>: Tools | Options | General | Compile on demand</t>
    </r>
  </si>
  <si>
    <t xml:space="preserve">       to Microsoft Visual Basic for Applications Extensibility 5.3</t>
  </si>
  <si>
    <t xml:space="preserve">    - if not using the BNEF template, you may need to add a reference via the Developer window Tools | Reference</t>
  </si>
  <si>
    <t>6. Set up this workbook with this button:</t>
  </si>
  <si>
    <t>Count:</t>
  </si>
  <si>
    <t>Activity Log</t>
  </si>
  <si>
    <r>
      <t xml:space="preserve">5. Close down the old (backgroundConnect) workbook. </t>
    </r>
    <r>
      <rPr>
        <sz val="11"/>
        <color rgb="FFFF0000"/>
        <rFont val="Arial"/>
        <family val="2"/>
      </rPr>
      <t>Do NOT save changes.</t>
    </r>
  </si>
  <si>
    <t>Unsuccessful connection attempts</t>
  </si>
  <si>
    <t xml:space="preserve">    - simply click, drag and drop the module from the backgroundConnect workbook to your workbook</t>
  </si>
  <si>
    <t>Last server connect attempt date</t>
  </si>
  <si>
    <r>
      <t xml:space="preserve">4. Copy the </t>
    </r>
    <r>
      <rPr>
        <i/>
        <sz val="11"/>
        <color theme="1"/>
        <rFont val="Arial"/>
        <family val="2"/>
      </rPr>
      <t>modServerConnect</t>
    </r>
    <r>
      <rPr>
        <sz val="11"/>
        <color theme="1"/>
        <rFont val="Arial"/>
        <family val="2"/>
      </rPr>
      <t xml:space="preserve"> module to your workbook</t>
    </r>
  </si>
  <si>
    <t>Last server response</t>
  </si>
  <si>
    <t>3. Open the Developer window (Alt+F11) and expand the VBAProject backgroundConnect 'Modules', top left pane</t>
  </si>
  <si>
    <r>
      <t xml:space="preserve">&lt;&lt; </t>
    </r>
    <r>
      <rPr>
        <b/>
        <sz val="10"/>
        <color rgb="FFFF0000"/>
        <rFont val="Arial"/>
        <family val="2"/>
      </rPr>
      <t>REPLACE</t>
    </r>
    <r>
      <rPr>
        <sz val="10"/>
        <rFont val="Arial"/>
        <family val="2"/>
      </rPr>
      <t xml:space="preserve"> with the model ID as specified in the Insight record</t>
    </r>
  </si>
  <si>
    <t>Model Version</t>
  </si>
  <si>
    <t>2. Now follow these instructions from this sheet within your own workbook</t>
  </si>
  <si>
    <r>
      <t xml:space="preserve">&lt;&lt; </t>
    </r>
    <r>
      <rPr>
        <b/>
        <sz val="10"/>
        <color rgb="FFFF0000"/>
        <rFont val="Arial"/>
        <family val="2"/>
      </rPr>
      <t>REPLACE</t>
    </r>
    <r>
      <rPr>
        <sz val="10"/>
        <rFont val="Arial"/>
        <family val="2"/>
      </rPr>
      <t xml:space="preserve"> with Insight ID of the Insight record created for the model</t>
    </r>
  </si>
  <si>
    <t>Model Insight ID</t>
  </si>
  <si>
    <r>
      <t>1. Drag (i.e.</t>
    </r>
    <r>
      <rPr>
        <sz val="11"/>
        <color rgb="FFFF0000"/>
        <rFont val="Arial"/>
        <family val="2"/>
      </rPr>
      <t xml:space="preserve"> move, don't copy</t>
    </r>
    <r>
      <rPr>
        <sz val="11"/>
        <color theme="1"/>
        <rFont val="Arial"/>
        <family val="2"/>
      </rPr>
      <t>) this sheet FROM this workbook TO your model workbook</t>
    </r>
  </si>
  <si>
    <t>Instructions for adding usage statistics monitoring ('silent login') to your model</t>
  </si>
  <si>
    <t>Usage activity log</t>
  </si>
  <si>
    <t>Proxy determined, length: 34</t>
  </si>
  <si>
    <t>Change log</t>
  </si>
  <si>
    <t>III</t>
  </si>
  <si>
    <t>Raw Materials</t>
  </si>
  <si>
    <t>Cobalt (Sulfate)</t>
  </si>
  <si>
    <t>Natural (Flake) Graphite</t>
  </si>
  <si>
    <t>Lithium (Carbonate and Hydroxide)</t>
  </si>
  <si>
    <t>Manganese (Sulfate)</t>
  </si>
  <si>
    <t>Nickel (Sulfate)</t>
  </si>
  <si>
    <t>Overall</t>
  </si>
  <si>
    <t>Reserves</t>
  </si>
  <si>
    <t>Mined Supply</t>
  </si>
  <si>
    <t>Refined Supply</t>
  </si>
  <si>
    <t>Rank Change</t>
  </si>
  <si>
    <t>Score</t>
  </si>
  <si>
    <t>Czechia</t>
  </si>
  <si>
    <t>Norway</t>
  </si>
  <si>
    <t>Slovakia</t>
  </si>
  <si>
    <t>Turkey</t>
  </si>
  <si>
    <t>UK</t>
  </si>
  <si>
    <t>DRC</t>
  </si>
  <si>
    <t>Morocco</t>
  </si>
  <si>
    <t>US</t>
  </si>
  <si>
    <t>Bolivia</t>
  </si>
  <si>
    <t>TOTAL</t>
  </si>
  <si>
    <t xml:space="preserve">Scoring Bands </t>
  </si>
  <si>
    <t xml:space="preserve">Note that scoring bands in red were used in 2022 and the score for given metric reflect these bands. The overall score was multiplied by 0.2 to give the final scores from 2022. </t>
  </si>
  <si>
    <t>LIST OF VALUES FOR SCORING BANDS</t>
  </si>
  <si>
    <t>Battery Manufacturing</t>
  </si>
  <si>
    <t>BattMan Component and Status for Formulas</t>
  </si>
  <si>
    <t>Disassembly</t>
  </si>
  <si>
    <t>Recycling</t>
  </si>
  <si>
    <t>Lithium-based cells</t>
  </si>
  <si>
    <t>Cathode Materials</t>
  </si>
  <si>
    <t>Anode materials</t>
  </si>
  <si>
    <t>Electrolyte Salts</t>
  </si>
  <si>
    <t>Separator/membrane</t>
  </si>
  <si>
    <t>Disassembly and recycling</t>
  </si>
  <si>
    <t>Fully commissioned</t>
  </si>
  <si>
    <t>BattMan Country Code</t>
  </si>
  <si>
    <t>Lithium-Based Cells</t>
  </si>
  <si>
    <t>Anode Materials</t>
  </si>
  <si>
    <t>Electrolyte (Excludes Solvent)</t>
  </si>
  <si>
    <t>Separator/Membrane</t>
  </si>
  <si>
    <t>Disassembly and Recycling</t>
  </si>
  <si>
    <t>CZ</t>
  </si>
  <si>
    <t>FI</t>
  </si>
  <si>
    <t>FR</t>
  </si>
  <si>
    <t>DE</t>
  </si>
  <si>
    <t>HU</t>
  </si>
  <si>
    <t>NO</t>
  </si>
  <si>
    <t>PL</t>
  </si>
  <si>
    <t>SK</t>
  </si>
  <si>
    <t>SE</t>
  </si>
  <si>
    <t>TR</t>
  </si>
  <si>
    <t>GB</t>
  </si>
  <si>
    <t>CD</t>
  </si>
  <si>
    <t>MA</t>
  </si>
  <si>
    <t>ZA</t>
  </si>
  <si>
    <t>CA</t>
  </si>
  <si>
    <t>MX</t>
  </si>
  <si>
    <t>AR</t>
  </si>
  <si>
    <t>BO</t>
  </si>
  <si>
    <t>BR</t>
  </si>
  <si>
    <t>CL</t>
  </si>
  <si>
    <t>CN</t>
  </si>
  <si>
    <t>JP</t>
  </si>
  <si>
    <t>KR</t>
  </si>
  <si>
    <t>AU</t>
  </si>
  <si>
    <t>IN</t>
  </si>
  <si>
    <t>ID</t>
  </si>
  <si>
    <t>PH</t>
  </si>
  <si>
    <t>TH</t>
  </si>
  <si>
    <t>VN</t>
  </si>
  <si>
    <t xml:space="preserve">Note that scoring bands in red were used in 2022 and the score for given metric reflect these bands. </t>
  </si>
  <si>
    <t>Downstream Demand</t>
  </si>
  <si>
    <t>Passenger EVs (BEVs and PHEVs)</t>
  </si>
  <si>
    <t>Commercial EVs</t>
  </si>
  <si>
    <t>E-buses</t>
  </si>
  <si>
    <t>2/3 Wheelers</t>
  </si>
  <si>
    <t xml:space="preserve">Aggregated Demand </t>
  </si>
  <si>
    <t xml:space="preserve">Regional Demand </t>
  </si>
  <si>
    <t xml:space="preserve">In 2022, regional demand is calculated by totalling the aggregated demand (by segment) for each country within a defined region. In 2023, regional demand considered all countries within a region regardless whether they are included in the Ranking or not. EV demand is 2022 data and storage demand is 2023 data. </t>
  </si>
  <si>
    <t>ESG</t>
  </si>
  <si>
    <t>Environmental, Social and Governance</t>
  </si>
  <si>
    <t>Environmental</t>
  </si>
  <si>
    <t>Social</t>
  </si>
  <si>
    <t>Governance</t>
  </si>
  <si>
    <t>Renewable Energy Policy</t>
  </si>
  <si>
    <t>Grid Carbon Intensity</t>
  </si>
  <si>
    <t>Carbon Prices</t>
  </si>
  <si>
    <t>Environmental Health</t>
  </si>
  <si>
    <t>Ecosystem Vitality</t>
  </si>
  <si>
    <t>Country Risk</t>
  </si>
  <si>
    <t>Sub-Catergory Total</t>
  </si>
  <si>
    <t>Fundamental Labor Rights</t>
  </si>
  <si>
    <t>Gender Equality</t>
  </si>
  <si>
    <t>Government Effectiveness</t>
  </si>
  <si>
    <t>Control of Corruption</t>
  </si>
  <si>
    <t>u</t>
  </si>
  <si>
    <t xml:space="preserve">Industry, Infrastructure and Innovation </t>
  </si>
  <si>
    <t>Industry</t>
  </si>
  <si>
    <t>Investment Attractiveness</t>
  </si>
  <si>
    <t>Sector Policy</t>
  </si>
  <si>
    <t>Trade Freedom</t>
  </si>
  <si>
    <t>FDI Restrictiveness</t>
  </si>
  <si>
    <t>Commercial Electricity Cost</t>
  </si>
  <si>
    <t>R&amp;D</t>
  </si>
  <si>
    <t>Knowledge Creation</t>
  </si>
  <si>
    <t>STEM Graduates</t>
  </si>
  <si>
    <t>NEW IN 2023</t>
  </si>
  <si>
    <t>qa</t>
  </si>
  <si>
    <t>Sheet1</t>
  </si>
  <si>
    <t>Overall rank in the SCR 2023</t>
  </si>
  <si>
    <t>INFO: DLL Version 10.0.19041.3636 10.0</t>
  </si>
  <si>
    <t>Sheet</t>
  </si>
  <si>
    <t>Index</t>
  </si>
  <si>
    <t>Sector</t>
  </si>
  <si>
    <t>SortOrder</t>
  </si>
  <si>
    <t>DefaultShare</t>
  </si>
  <si>
    <t>Share</t>
  </si>
  <si>
    <t>Check</t>
  </si>
  <si>
    <t>Battery manufacturing</t>
  </si>
  <si>
    <t>Cells</t>
  </si>
  <si>
    <t>Cathode materials</t>
  </si>
  <si>
    <t>Electrolyte salts</t>
  </si>
  <si>
    <t>Downstream demand</t>
  </si>
  <si>
    <t>Individual country demand</t>
  </si>
  <si>
    <t>Default Share</t>
  </si>
  <si>
    <t>Indicator index</t>
  </si>
  <si>
    <t>Sub indicator index</t>
  </si>
  <si>
    <t>Years count</t>
  </si>
  <si>
    <t>Subindicator Count</t>
  </si>
  <si>
    <t>Column Offset</t>
  </si>
  <si>
    <t>Sub-Catergory Total Parameter Count</t>
  </si>
  <si>
    <t>Rank offset</t>
  </si>
  <si>
    <t>Field Count</t>
  </si>
  <si>
    <t>General Parameter Count</t>
  </si>
  <si>
    <t>isOverall</t>
  </si>
  <si>
    <t>Battery demand</t>
  </si>
  <si>
    <t xml:space="preserve"> Score</t>
  </si>
  <si>
    <t>Overall!B10</t>
  </si>
  <si>
    <t>Indicator data column</t>
  </si>
  <si>
    <t>Ranking column</t>
  </si>
  <si>
    <t>Indicator unit</t>
  </si>
  <si>
    <t>RawMaterials!C12</t>
  </si>
  <si>
    <t>BatteryManufacturing!D15</t>
  </si>
  <si>
    <t>ESG!C12</t>
  </si>
  <si>
    <t>III!C12</t>
  </si>
  <si>
    <t>DownstreamDemand!C11</t>
  </si>
  <si>
    <t>Weighting  factor</t>
  </si>
  <si>
    <t>Factor Check</t>
  </si>
  <si>
    <t>© Bloomberg Finance L.P. 2024. This publication is the copyright of Bloomberg Finance L.P. in connection with BloombergNEF. No portion of this document may be photocopied, reproduced, scanned into an electronic system or transmitted, forwarded or distributed in any way without prior consent of BloombergNEF.
The BloombergNEF ("BNEF"), service/information is derived from selected public sources. Bloomberg Finance L.P. and its affiliates, in providing the service/information, believe that the information it uses comes from reliable sources, but do not guarantee the accuracy or completeness of this information, which is subject to change without notice, and nothing in this document shall be construed as such a guarantee. The statements in this service/document reflect the current judgment of the authors of the relevant articles or features, and do not necessarily reflect the opinion of Bloomberg Finance L.P., Bloomberg L.P. or any of their affiliates (“Bloomberg”). Bloomberg disclaims any liability arising from use of this document, its contents and/or this service. Nothing herein shall constitute or be construed as an offering of financial instruments or as investment advice or recommendations by Bloomberg of an investment or other strategy (e.g., whether or not to “buy”, “sell”, or “hold” an investment). The information available through this service is not based on consideration of a subscriber’s individual circumstances and should not be considered as information sufficient upon which to base an investment decision. You should determine on your own whether you agree with the content. This service should not be construed as tax or accounting advice or as a service designed to facilitate any subscriber’s compliance with its tax, accounting or other legal obligations. Employees involved in this service may hold positions in the companies mentioned in the services/information. The data included in these materials are for illustrative purposes only.
The BLOOMBERG TERMINAL service and Bloomberg data products (the “Services”) are owned and distributed by Bloomberg Finance L.P. (“BFLP”) except (i) in Argentina, Australia and certain jurisdictions in the Pacific islands, Bermuda, China, India, Japan, Korea and New Zealand, where Bloomberg L.P. and its subsidiaries (“BLP”) distribute these products, and (ii) in Singapore and the jurisdictions serviced by Bloomberg’s Singapore office, where a subsidiary of BFLP distributes these products. BLP provides BFLP and its subsidiaries with global marketing and operational support and service. Certain features, functions, products and services are available only to sophisticated investors and only where permitted. BFLP, BLP and their affiliates do not guarantee the accuracy of prices or other information in the Services. Nothing in the Services shall constitute or be construed as an offering of financial instruments by BFLP, BLP or their affiliates, or as investment advice or recommendations by BFLP, BLP or their affiliates of an investment strategy or whether or not to “buy”, “sell” or “hold” an investment. Information available via the Services should not be considered as information sufficient upon which to base an investment decision. The following are trademarks and service marks of BFLP, a Delaware limited partnership, or its subsidiaries: BLOOMBERG, BLOOMBERG ANYWHERE, BLOOMBERG MARKETS, BLOOMBERG NEWS, BLOOMBERG PROFESSIONAL, BLOOMBERG TERMINAL and BLOOMBERG.COM. Absence of any trademark or service mark from this list does not waive Bloomberg’s intellectual property rights in that name, mark or logo. All rights reserved. © 2020 Bloomberg.</t>
  </si>
  <si>
    <t>Sub-indicator</t>
  </si>
  <si>
    <t>Company websites, United States Geological Survey, BNEF</t>
  </si>
  <si>
    <t>International Carbon Action Partnership (ICAP), World Bank, BNEF</t>
  </si>
  <si>
    <t>Institute for International Law of Peace and Armed Conflict and Bundnis Entwicklung Hilft World Risk Report</t>
  </si>
  <si>
    <t xml:space="preserve">Yale Environmental Performance Index </t>
  </si>
  <si>
    <t>World Justice Project’s Rule of Law Index</t>
  </si>
  <si>
    <t>United Nations Human Development Reports</t>
  </si>
  <si>
    <t>Worldwide Governance Indicators</t>
  </si>
  <si>
    <t>Openness to trade</t>
  </si>
  <si>
    <t>Openness to foreign direct investment</t>
  </si>
  <si>
    <t>Fraser Institute’s Annual Survey of Mining Companies</t>
  </si>
  <si>
    <t>The Heritage Foundation’s Index of Economic Freedom</t>
  </si>
  <si>
    <t>United Nations Conference on Trade and Development</t>
  </si>
  <si>
    <t>World Intellectual Property Organization Global Innovation Index</t>
  </si>
  <si>
    <t>Authorised to use this model.</t>
  </si>
  <si>
    <t>Resources</t>
  </si>
  <si>
    <t>Refinery capacity</t>
  </si>
  <si>
    <t>Class 1 nickel</t>
  </si>
  <si>
    <t>SUPPLY CHAIN SNAPSHOT</t>
  </si>
  <si>
    <t>Weighting</t>
  </si>
  <si>
    <t>Subcategory</t>
  </si>
  <si>
    <t xml:space="preserve">Weighting </t>
  </si>
  <si>
    <t xml:space="preserve">Cobalt </t>
  </si>
  <si>
    <t>Graphite (Natural)</t>
  </si>
  <si>
    <t>Cell</t>
  </si>
  <si>
    <t xml:space="preserve">Electrolyte </t>
  </si>
  <si>
    <t>RADAR CHART INPUT</t>
  </si>
  <si>
    <t>Domestic demand</t>
  </si>
  <si>
    <t xml:space="preserve">CATEGORY AND SUBCATEGORY RANKING </t>
  </si>
  <si>
    <t xml:space="preserve">Subcategory </t>
  </si>
  <si>
    <t>RAW DATA</t>
  </si>
  <si>
    <t>Metric</t>
  </si>
  <si>
    <t>Interpretation</t>
  </si>
  <si>
    <t>Mined supply</t>
  </si>
  <si>
    <t>Refined supply</t>
  </si>
  <si>
    <t xml:space="preserve">Battery manufacturing </t>
  </si>
  <si>
    <t>Anode materials capacity</t>
  </si>
  <si>
    <t>Cathode materials capacity</t>
  </si>
  <si>
    <t>Disassembly and recycling capacity</t>
  </si>
  <si>
    <t>Electrolyte capacity</t>
  </si>
  <si>
    <t>Electrolyte salts capacity</t>
  </si>
  <si>
    <t>Seperator capacity</t>
  </si>
  <si>
    <t>Passenger EVs</t>
  </si>
  <si>
    <t>Two- and three-wheelers</t>
  </si>
  <si>
    <t>Stationary storage</t>
  </si>
  <si>
    <t xml:space="preserve">Environmental </t>
  </si>
  <si>
    <t>Carbon pricing</t>
  </si>
  <si>
    <t>Country risk</t>
  </si>
  <si>
    <t>Grid carbon intensity</t>
  </si>
  <si>
    <t>Ecosystem vitality</t>
  </si>
  <si>
    <t>Renewable energy policy</t>
  </si>
  <si>
    <t>Fundamental labor rights</t>
  </si>
  <si>
    <t xml:space="preserve">Gender equality </t>
  </si>
  <si>
    <t>Control of corruption</t>
  </si>
  <si>
    <t>Government effectiveness</t>
  </si>
  <si>
    <t>Investment attractiveness</t>
  </si>
  <si>
    <t>Sector policy</t>
  </si>
  <si>
    <t>Commercial electricity prices</t>
  </si>
  <si>
    <t>Research and development</t>
  </si>
  <si>
    <t>Knowledge creation</t>
  </si>
  <si>
    <t>STEM graduates</t>
  </si>
  <si>
    <t>METRIC BOUNDS</t>
  </si>
  <si>
    <t>METRIC SNAPSHOT</t>
  </si>
  <si>
    <t>Region</t>
  </si>
  <si>
    <t>Asia Pacific 1</t>
  </si>
  <si>
    <t>Asia Pacific 2</t>
  </si>
  <si>
    <t>DATA SOURCES</t>
  </si>
  <si>
    <t>Intepretation</t>
  </si>
  <si>
    <t>US Geological Survey, BloombergNEF</t>
  </si>
  <si>
    <t>Company websites, US Geological Survey, BloombergNEF</t>
  </si>
  <si>
    <t xml:space="preserve">Project-level data from company websites was used to validate reserve estimates. This is additional source was introduced in 2023. </t>
  </si>
  <si>
    <t>N/A</t>
  </si>
  <si>
    <t xml:space="preserve">Refined supply of natural graphite was removed as a metric in this edition. </t>
  </si>
  <si>
    <t>In 2022, regional demand was calculated using only countries included in the ranking. In 2022, all countries are considered when calculating regional demand.</t>
  </si>
  <si>
    <t>World Bank, BloombergNEF</t>
  </si>
  <si>
    <t>International Carbon Action Partnership (ICAP), World Bank, BloombergNEF</t>
  </si>
  <si>
    <t>Only national-level schemes are considered. Both emissions trading programs and taxes are considered. In 2023, points were awarded for planned schemes as well.</t>
  </si>
  <si>
    <t>Institute for International Law of Peace and Armed Conflict, Bundnis Entwicklung Hilft</t>
  </si>
  <si>
    <t xml:space="preserve">Data is taken from the 2022 and 2023 editions of the World Risk Report. </t>
  </si>
  <si>
    <t>Yale University</t>
  </si>
  <si>
    <t xml:space="preserve">Data is taken from the 2022 Environmental Performance Index and remains unchanged between 2022 and 2023 as the report is updated biannually. </t>
  </si>
  <si>
    <t>World Justice Project</t>
  </si>
  <si>
    <t>Data is taken from the 2022 and 2023 editions of the Rule of Law Index.</t>
  </si>
  <si>
    <t>United Nations</t>
  </si>
  <si>
    <t xml:space="preserve">The source remains from the same in 2022 and 2023 but the UN has updated the index in question. In 2022, it was the Gender Inequality Index and in 2023, it was the Global Gender Parity Index. </t>
  </si>
  <si>
    <t>Data is taken from the 2022 and 2023 dataset updates.</t>
  </si>
  <si>
    <t>Fraser Institute</t>
  </si>
  <si>
    <t>Data is taken from the 2021 and 2022 editions of the Annual Survey of Mining Companies. Note these editions were released in 2022 and 2023, respectively. When several jurisdictions in a country were considered, a mean score was used for that given market.</t>
  </si>
  <si>
    <t>The Heritage Foundation</t>
  </si>
  <si>
    <t>Data is taken from the 2022 and 2023 editions of the Index of Economic Freedom.</t>
  </si>
  <si>
    <t>OECD</t>
  </si>
  <si>
    <t>United Nations Conference on Trade and Development.</t>
  </si>
  <si>
    <t xml:space="preserve">The source was updated in 2023 because the previous source had not been for several years.  The source in 2022 was the 'foreign direct investment restrictiveness' metric. The source in 2023 was the net inflow of foreign direct investment to a country. </t>
  </si>
  <si>
    <t xml:space="preserve">The sector policy metric was introduced in 2023. </t>
  </si>
  <si>
    <t>World Intellectual Property Organization</t>
  </si>
  <si>
    <t>Data is taken from the 2022 and 2023 editions of the Global Innovation Index. Proxy data was used for Democratic Republic of the Congo.</t>
  </si>
  <si>
    <t>Data is taken from the 2022 and 2023 editions of the Global Innovation Index. In 2022, only the gross research and development expenditure was considered. In 2023, the entire research and development landscape was considered as updates for the 2022 metric lagged. The source for 2022 and 2023 remains unchanged.  Proxy data was used for Democratic Republic of the Congo.</t>
  </si>
  <si>
    <t>Data is taken from the 2022 and 2023 editions of the Global Innovation Index. Proxy data was used for Bolivia, China and Democratic Republic of the Congo.</t>
  </si>
  <si>
    <t>RawMaterials</t>
  </si>
  <si>
    <t>BatteryManufacturing</t>
  </si>
  <si>
    <t>DownstreamDemand</t>
  </si>
  <si>
    <t>Year1</t>
  </si>
  <si>
    <t>Country1</t>
  </si>
  <si>
    <t>Country2</t>
  </si>
  <si>
    <t>Year2</t>
  </si>
  <si>
    <t>Value</t>
  </si>
  <si>
    <t>Offset</t>
  </si>
  <si>
    <t>Value Column Offset</t>
  </si>
  <si>
    <t>Rank Column offset</t>
  </si>
  <si>
    <t>value</t>
  </si>
  <si>
    <t>rank</t>
  </si>
  <si>
    <t>range</t>
  </si>
  <si>
    <t>maxmum</t>
  </si>
  <si>
    <t>minmum</t>
  </si>
  <si>
    <t>Field</t>
  </si>
  <si>
    <t>CountryIndex</t>
  </si>
  <si>
    <t>CountryYearIndex</t>
  </si>
  <si>
    <t>CountryNo</t>
  </si>
  <si>
    <t>FieldIndex</t>
  </si>
  <si>
    <t>FieldColum offset</t>
  </si>
  <si>
    <t>Gender equality</t>
  </si>
  <si>
    <t>Commercial electricity Cost</t>
  </si>
  <si>
    <t>Count</t>
  </si>
  <si>
    <t>Weighting inputs</t>
  </si>
  <si>
    <t>Metric inputs</t>
  </si>
  <si>
    <t>Carbon prices</t>
  </si>
  <si>
    <t>Sub category</t>
  </si>
  <si>
    <t>Data offset</t>
  </si>
  <si>
    <t>Rank by Name</t>
  </si>
  <si>
    <t>STEP 1: CHOOSE COUNTRIES</t>
  </si>
  <si>
    <t>The higher, the better</t>
  </si>
  <si>
    <t>The lower, the better</t>
  </si>
  <si>
    <t>STEP 1: CHOOSE METRIC</t>
  </si>
  <si>
    <t>Cobalt1</t>
  </si>
  <si>
    <t>Lithium1</t>
  </si>
  <si>
    <t>Nickel1</t>
  </si>
  <si>
    <t>Graphite (Natural)1</t>
  </si>
  <si>
    <t>Manganese1</t>
  </si>
  <si>
    <t>Environmental1</t>
  </si>
  <si>
    <t>Social1</t>
  </si>
  <si>
    <t>Governance1</t>
  </si>
  <si>
    <t>Industry1</t>
  </si>
  <si>
    <t>Infrastructure1</t>
  </si>
  <si>
    <t>Innovation1</t>
  </si>
  <si>
    <t>Input</t>
  </si>
  <si>
    <t>Reference</t>
  </si>
  <si>
    <t>Default</t>
  </si>
  <si>
    <t>Metrics</t>
  </si>
  <si>
    <t>Sources</t>
  </si>
  <si>
    <t>2.0.0</t>
  </si>
  <si>
    <t>Sending anonymous request to https://api.bnef.com/model_reporting/33431 proxy='beijingro-cbc-vip.bloomberg.com:81'</t>
  </si>
  <si>
    <t>DoSendMessage 'INTRL:LogP(2.0.0)' completed successfully with code: 204</t>
  </si>
  <si>
    <t>Full name</t>
  </si>
  <si>
    <t>Proxy determined, length: 24</t>
  </si>
  <si>
    <t>Sending anonymous request to https://api.bnef.com/model_reporting/33431 proxy='proxyeu.bloomberg.com:81'</t>
  </si>
  <si>
    <t>Raw data for each metric included in the ranking in 2022 and 2023</t>
  </si>
  <si>
    <t>Country comparison with adjustable category and subcategory weightings</t>
  </si>
  <si>
    <t>Data sources for each metric included in the ranking in 2022 and 2023</t>
  </si>
  <si>
    <t>DoSendMessage 'INTRL:exit(2.0.0)' completed successfully with code: 204</t>
  </si>
  <si>
    <t>trackUsageAnonymous 'exit' succeeded with responseCode: 204</t>
  </si>
  <si>
    <t>Cell color key:</t>
  </si>
  <si>
    <t>Dropdown</t>
  </si>
  <si>
    <t>User input</t>
  </si>
  <si>
    <t>* in-cell help available</t>
  </si>
  <si>
    <t>Calculation</t>
  </si>
  <si>
    <t>Note: III is industry, infrastructure and innovation.</t>
  </si>
  <si>
    <t xml:space="preserve">Note: The sources for metrics may have changed between 2022 and 2023. See the 'Sources' sheet for the sources used for each metric in both years. </t>
  </si>
  <si>
    <t>Weighting check*</t>
  </si>
  <si>
    <t>Rank*</t>
  </si>
  <si>
    <t>Sample size*</t>
  </si>
  <si>
    <t>Interpretation*</t>
  </si>
  <si>
    <t>Maximum value*</t>
  </si>
  <si>
    <t>Minimum value*</t>
  </si>
  <si>
    <t>Industry, infrastructure and innovation</t>
  </si>
  <si>
    <t>Note: III is industry, infrastructure and innovation. The ranks displayed in this table will change based on the chosen category and subcategory weightings.</t>
  </si>
  <si>
    <t xml:space="preserve">Note: III is industry, infrastructure and innovation. The data displayed in this table will not change as the category and subcategory weightings change.  </t>
  </si>
  <si>
    <t>Frequency</t>
  </si>
  <si>
    <t>Updated yearly</t>
  </si>
  <si>
    <t>STEP 2: CHOOSE CATEGORY AND SUBCATEGORY WEIGHTINGS</t>
  </si>
  <si>
    <t>Metric kiloton</t>
  </si>
  <si>
    <t>Metric tons per year</t>
  </si>
  <si>
    <t>Million square meters per year</t>
  </si>
  <si>
    <t>Gigawatt-hours per year</t>
  </si>
  <si>
    <t>Gigawatt-hours</t>
  </si>
  <si>
    <t>grams of CO2 equivalent per kilowatt-hour</t>
  </si>
  <si>
    <t>Percentage of gross domestic product</t>
  </si>
  <si>
    <t>$ per megawatt-hour</t>
  </si>
  <si>
    <t>Percentage</t>
  </si>
  <si>
    <t>Grams of CO2 equivalent per kilowatt-hour</t>
  </si>
  <si>
    <t>NOTE: Rank in 2022 is hardcoded because of ROUNDUP.</t>
  </si>
  <si>
    <t xml:space="preserve">NOTE: Rank in 2022 is hardcoded because of ROUNDUP. </t>
  </si>
  <si>
    <t xml:space="preserve">This tool is the accompanying dataset for the fourth edition of the Global Lithium-Ion Battery Supply Chain Ranking.  Clients can use the tool to review the raw data for each metric included in the ranking, to adjust the weightings of the categories and subcategories in the ranking in line with their interests and to compare the rankings of two countries based on the chosen weightings. Data for both the 2022 and 2023 rankings are available in this tool. </t>
  </si>
  <si>
    <t>Global Lithium-Ion Battery Supply Chain Ranking Dataset (2.0.0)</t>
  </si>
  <si>
    <t>Separator capacity</t>
  </si>
  <si>
    <t>1.0.1</t>
  </si>
  <si>
    <t>1.0.0</t>
  </si>
  <si>
    <t>First release.</t>
  </si>
  <si>
    <t>Minor code update for Bloomberg compliance. Functionality remains unchanged.</t>
  </si>
  <si>
    <t xml:space="preserve">Data model structure revised. Updated with data from the third and fourth editions of the ranking.  </t>
  </si>
  <si>
    <t>Metric kiloton LCE</t>
  </si>
  <si>
    <t>Thousand metric tons</t>
  </si>
  <si>
    <t>Thousand metric tons lithium carbonate equivalent</t>
  </si>
  <si>
    <t>March 19, 2024</t>
  </si>
  <si>
    <t>Sending anonymous request to https://api.bnef.com/model_reporting/24191 proxy='proxyeu.bloomberg.com:81'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</si>
</sst>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00_);[Red]_(* \(#,##0.00\);_(* &quot;-&quot;??_);_(@_)"/>
    <numFmt numFmtId="166" formatCode="_(* #,##0_);_(* \(#,##0\);_(* &quot;-&quot;??_);_(@_)"/>
    <numFmt numFmtId="167" formatCode="[$$-409]#,##0"/>
    <numFmt numFmtId="168" formatCode="_(* #,##0.0_);_(* \(#,##0.0\);_(* &quot;-&quot;??_);_(@_)"/>
    <numFmt numFmtId="169" formatCode="#,##0.000"/>
    <numFmt numFmtId="170" formatCode="&quot;Country Profile (with year-end&quot;\ 0\ &quot;data)&quot;"/>
    <numFmt numFmtId="171" formatCode="&quot;For&quot;\ 0"/>
    <numFmt numFmtId="172" formatCode="&quot;Position&quot;\ 0"/>
    <numFmt numFmtId="173" formatCode="0.000000000%"/>
    <numFmt numFmtId="174" formatCode="0.0%"/>
    <numFmt numFmtId="175" formatCode="mmmm\ dd\,\ yyyy"/>
    <numFmt numFmtId="176" formatCode="dd\ mmm\ yyyy\ hh:mm:ss"/>
    <numFmt numFmtId="177" formatCode="#,##0.0"/>
    <numFmt numFmtId="178" formatCode="\+0;\-0;0"/>
    <numFmt numFmtId="179" formatCode="0.0"/>
  </numFmts>
  <fonts count="77">
    <font>
      <sz val="10"/>
      <name val="Arial"/>
    </font>
    <font>
      <sz val="10"/>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2"/>
      <name val="Arial"/>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0"/>
      <name val="Arial"/>
      <family val="2"/>
    </font>
    <font>
      <b/>
      <sz val="18"/>
      <color indexed="62"/>
      <name val="Cambria"/>
      <family val="2"/>
    </font>
    <font>
      <sz val="11"/>
      <color indexed="10"/>
      <name val="Calibri"/>
      <family val="2"/>
    </font>
    <font>
      <sz val="10"/>
      <name val="Tahoma"/>
      <family val="2"/>
    </font>
    <font>
      <sz val="9"/>
      <name val="Arial"/>
      <family val="2"/>
    </font>
    <font>
      <b/>
      <sz val="10"/>
      <name val="Tahoma"/>
      <family val="2"/>
    </font>
    <font>
      <b/>
      <sz val="11"/>
      <name val="Arial"/>
      <family val="2"/>
    </font>
    <font>
      <b/>
      <sz val="8"/>
      <name val="Arial"/>
      <family val="2"/>
    </font>
    <font>
      <u/>
      <sz val="11.5"/>
      <color theme="10"/>
      <name val="Arial"/>
      <family val="2"/>
    </font>
    <font>
      <sz val="7"/>
      <name val="Arial"/>
      <family val="2"/>
    </font>
    <font>
      <b/>
      <sz val="12"/>
      <color rgb="FF00B9E4"/>
      <name val="Arial"/>
      <family val="2"/>
    </font>
    <font>
      <sz val="10"/>
      <name val="Arial"/>
      <family val="2"/>
    </font>
    <font>
      <sz val="10"/>
      <color theme="1"/>
      <name val="Arial"/>
      <family val="2"/>
    </font>
    <font>
      <sz val="10"/>
      <color indexed="23"/>
      <name val="Arial"/>
      <family val="2"/>
      <scheme val="minor"/>
    </font>
    <font>
      <sz val="10"/>
      <color indexed="23"/>
      <name val="Arial"/>
      <family val="2"/>
    </font>
    <font>
      <sz val="10"/>
      <name val="Arial"/>
      <family val="2"/>
      <scheme val="minor"/>
    </font>
    <font>
      <sz val="10"/>
      <color indexed="55"/>
      <name val="Arial"/>
      <family val="2"/>
    </font>
    <font>
      <b/>
      <sz val="10"/>
      <color theme="4"/>
      <name val="Arial"/>
      <family val="2"/>
    </font>
    <font>
      <i/>
      <sz val="10"/>
      <name val="Arial"/>
      <family val="2"/>
    </font>
    <font>
      <sz val="10"/>
      <color rgb="FF000000"/>
      <name val="Arial"/>
      <family val="2"/>
    </font>
    <font>
      <b/>
      <sz val="10"/>
      <color rgb="FFFF0000"/>
      <name val="Arial"/>
      <family val="2"/>
    </font>
    <font>
      <b/>
      <sz val="10"/>
      <color theme="1"/>
      <name val="Arial"/>
      <family val="2"/>
    </font>
    <font>
      <u/>
      <sz val="10"/>
      <color rgb="FF0D9DDB"/>
      <name val="Arial"/>
      <family val="2"/>
    </font>
    <font>
      <b/>
      <sz val="16"/>
      <name val="Arial"/>
      <family val="2"/>
    </font>
    <font>
      <b/>
      <sz val="12"/>
      <name val="Arial"/>
      <family val="2"/>
    </font>
    <font>
      <b/>
      <sz val="16"/>
      <color rgb="FF7654A3"/>
      <name val="Arial"/>
      <family val="2"/>
    </font>
    <font>
      <u/>
      <sz val="10"/>
      <color rgb="FF7654A3"/>
      <name val="Arial"/>
      <family val="2"/>
    </font>
    <font>
      <b/>
      <sz val="10"/>
      <color rgb="FF7654A3"/>
      <name val="Arial"/>
      <family val="2"/>
    </font>
    <font>
      <sz val="10"/>
      <color rgb="FF4DAA50"/>
      <name val="Arial"/>
      <family val="2"/>
    </font>
    <font>
      <b/>
      <sz val="10"/>
      <color rgb="FF4DAA50"/>
      <name val="Arial"/>
      <family val="2"/>
    </font>
    <font>
      <u/>
      <sz val="10"/>
      <color theme="4"/>
      <name val="Arial"/>
      <family val="2"/>
    </font>
    <font>
      <b/>
      <u/>
      <sz val="10"/>
      <color rgb="FF7654A3"/>
      <name val="Arial"/>
      <family val="2"/>
    </font>
    <font>
      <sz val="10"/>
      <color theme="9"/>
      <name val="Arial"/>
      <family val="2"/>
    </font>
    <font>
      <sz val="10"/>
      <color theme="4"/>
      <name val="Arial"/>
      <family val="2"/>
    </font>
    <font>
      <sz val="10"/>
      <color theme="5"/>
      <name val="Arial"/>
      <family val="2"/>
    </font>
    <font>
      <b/>
      <sz val="14"/>
      <color theme="1"/>
      <name val="Arial"/>
      <family val="2"/>
    </font>
    <font>
      <b/>
      <sz val="10"/>
      <color theme="9"/>
      <name val="Arial"/>
      <family val="2"/>
    </font>
    <font>
      <sz val="10"/>
      <color theme="8"/>
      <name val="Arial"/>
      <family val="2"/>
    </font>
    <font>
      <i/>
      <sz val="10"/>
      <color rgb="FF000000"/>
      <name val="Arial"/>
      <family val="2"/>
    </font>
    <font>
      <sz val="9"/>
      <name val="宋体"/>
      <family val="3"/>
      <charset val="134"/>
    </font>
    <font>
      <sz val="16"/>
      <color rgb="FFEB4D4A"/>
      <name val="Arial"/>
      <family val="2"/>
    </font>
    <font>
      <sz val="16"/>
      <color theme="9"/>
      <name val="Arial"/>
      <family val="2"/>
    </font>
    <font>
      <b/>
      <sz val="14"/>
      <name val="Arial"/>
      <family val="2"/>
    </font>
    <font>
      <u/>
      <sz val="10"/>
      <color rgb="FF4DAA50"/>
      <name val="Arial"/>
      <family val="2"/>
    </font>
    <font>
      <b/>
      <u/>
      <sz val="10"/>
      <color rgb="FF4DAA50"/>
      <name val="Arial"/>
      <family val="2"/>
    </font>
    <font>
      <sz val="10"/>
      <color rgb="FFFF0000"/>
      <name val="Arial"/>
      <family val="2"/>
    </font>
    <font>
      <b/>
      <sz val="11"/>
      <color theme="1"/>
      <name val="Arial"/>
      <family val="2"/>
    </font>
    <font>
      <sz val="11"/>
      <name val="Arial"/>
      <family val="2"/>
    </font>
    <font>
      <sz val="11"/>
      <color rgb="FFFF0000"/>
      <name val="Arial"/>
      <family val="2"/>
    </font>
    <font>
      <sz val="11"/>
      <color theme="1"/>
      <name val="Arial"/>
      <family val="2"/>
    </font>
    <font>
      <b/>
      <sz val="11"/>
      <color rgb="FFFF0000"/>
      <name val="Arial"/>
      <family val="2"/>
    </font>
    <font>
      <i/>
      <sz val="11"/>
      <color theme="1"/>
      <name val="Arial"/>
      <family val="2"/>
    </font>
    <font>
      <b/>
      <sz val="14"/>
      <color theme="0"/>
      <name val="Arial"/>
      <family val="2"/>
    </font>
    <font>
      <b/>
      <sz val="14"/>
      <color theme="6"/>
      <name val="Arial"/>
      <family val="2"/>
    </font>
    <font>
      <b/>
      <sz val="10"/>
      <color theme="0"/>
      <name val="Arial"/>
      <family val="2"/>
    </font>
    <font>
      <sz val="10"/>
      <color theme="0"/>
      <name val="Arial"/>
      <family val="2"/>
    </font>
    <font>
      <b/>
      <sz val="14"/>
      <color theme="9"/>
      <name val="Arial"/>
      <family val="2"/>
    </font>
    <font>
      <b/>
      <sz val="14"/>
      <color theme="8"/>
      <name val="Arial"/>
      <family val="2"/>
    </font>
    <font>
      <sz val="9"/>
      <color rgb="FF000000"/>
      <name val="Arial"/>
      <family val="2"/>
    </font>
  </fonts>
  <fills count="54">
    <fill>
      <patternFill patternType="none"/>
    </fill>
    <fill>
      <patternFill patternType="gray125"/>
    </fill>
    <fill>
      <patternFill patternType="solid">
        <fgColor indexed="56"/>
      </patternFill>
    </fill>
    <fill>
      <patternFill patternType="solid">
        <fgColor indexed="58"/>
      </patternFill>
    </fill>
    <fill>
      <patternFill patternType="solid">
        <fgColor indexed="45"/>
      </patternFill>
    </fill>
    <fill>
      <patternFill patternType="solid">
        <fgColor indexed="42"/>
      </patternFill>
    </fill>
    <fill>
      <patternFill patternType="solid">
        <fgColor indexed="9"/>
      </patternFill>
    </fill>
    <fill>
      <patternFill patternType="solid">
        <fgColor indexed="27"/>
      </patternFill>
    </fill>
    <fill>
      <patternFill patternType="solid">
        <fgColor indexed="47"/>
      </patternFill>
    </fill>
    <fill>
      <patternFill patternType="solid">
        <fgColor indexed="22"/>
      </patternFill>
    </fill>
    <fill>
      <patternFill patternType="solid">
        <fgColor indexed="49"/>
      </patternFill>
    </fill>
    <fill>
      <patternFill patternType="solid">
        <fgColor indexed="16"/>
      </patternFill>
    </fill>
    <fill>
      <patternFill patternType="solid">
        <fgColor indexed="59"/>
      </patternFill>
    </fill>
    <fill>
      <patternFill patternType="solid">
        <fgColor indexed="54"/>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0" tint="-4.9989318521683403E-2"/>
        <bgColor indexed="64"/>
      </patternFill>
    </fill>
    <fill>
      <patternFill patternType="lightDown">
        <fgColor indexed="23"/>
      </patternFill>
    </fill>
    <fill>
      <patternFill patternType="lightGray">
        <fgColor indexed="22"/>
      </patternFill>
    </fill>
    <fill>
      <patternFill patternType="lightGray">
        <bgColor indexed="9"/>
      </patternFill>
    </fill>
    <fill>
      <patternFill patternType="solid">
        <fgColor theme="0" tint="-0.24994659260841701"/>
        <bgColor indexed="64"/>
      </patternFill>
    </fill>
    <fill>
      <patternFill patternType="solid">
        <fgColor rgb="FFFFAE21"/>
        <bgColor auto="1"/>
      </patternFill>
    </fill>
    <fill>
      <patternFill patternType="solid">
        <fgColor rgb="FFFFAE21"/>
        <bgColor indexed="64"/>
      </patternFill>
    </fill>
    <fill>
      <patternFill patternType="solid">
        <fgColor rgb="FFFFC766"/>
      </patternFill>
    </fill>
    <fill>
      <patternFill patternType="solid">
        <fgColor rgb="FFFFC766"/>
        <bgColor auto="1"/>
      </patternFill>
    </fill>
    <fill>
      <patternFill patternType="solid">
        <fgColor rgb="FF61CAE6"/>
        <bgColor indexed="64"/>
      </patternFill>
    </fill>
    <fill>
      <patternFill patternType="solid">
        <fgColor theme="0" tint="-0.14996795556505021"/>
        <bgColor indexed="65"/>
      </patternFill>
    </fill>
    <fill>
      <patternFill patternType="solid">
        <fgColor theme="0" tint="-0.14999847407452621"/>
        <bgColor indexed="64"/>
      </patternFill>
    </fill>
    <fill>
      <patternFill patternType="solid">
        <fgColor theme="0"/>
        <bgColor indexed="64"/>
      </patternFill>
    </fill>
    <fill>
      <patternFill patternType="solid">
        <fgColor theme="7" tint="0.79998168889431442"/>
        <bgColor indexed="64"/>
      </patternFill>
    </fill>
    <fill>
      <patternFill patternType="solid">
        <fgColor theme="6"/>
        <bgColor indexed="64"/>
      </patternFill>
    </fill>
    <fill>
      <patternFill patternType="solid">
        <fgColor theme="6" tint="-0.49998474074526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5"/>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bgColor indexed="64"/>
      </patternFill>
    </fill>
    <fill>
      <patternFill patternType="solid">
        <fgColor theme="9" tint="-0.49998474074526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8"/>
        <bgColor indexed="64"/>
      </patternFill>
    </fill>
    <fill>
      <patternFill patternType="solid">
        <fgColor theme="8" tint="-0.499984740745262"/>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0.499984740745262"/>
        <bgColor indexed="64"/>
      </patternFill>
    </fill>
    <fill>
      <patternFill patternType="solid">
        <fgColor theme="1"/>
        <bgColor indexed="64"/>
      </patternFill>
    </fill>
  </fills>
  <borders count="40">
    <border>
      <left/>
      <right/>
      <top/>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medium">
        <color indexed="56"/>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double">
        <color auto="1"/>
      </bottom>
      <diagonal/>
    </border>
    <border>
      <left style="thin">
        <color theme="1"/>
      </left>
      <right style="thin">
        <color theme="1"/>
      </right>
      <top style="thin">
        <color theme="1"/>
      </top>
      <bottom style="thin">
        <color theme="1"/>
      </bottom>
      <diagonal/>
    </border>
    <border>
      <left style="thin">
        <color rgb="FFB2B2B2"/>
      </left>
      <right style="thin">
        <color rgb="FFB2B2B2"/>
      </right>
      <top style="thin">
        <color rgb="FFB2B2B2"/>
      </top>
      <bottom style="thin">
        <color rgb="FFB2B2B2"/>
      </bottom>
      <diagonal/>
    </border>
    <border>
      <left/>
      <right/>
      <top style="thin">
        <color auto="1"/>
      </top>
      <bottom/>
      <diagonal/>
    </border>
    <border>
      <left/>
      <right/>
      <top/>
      <bottom style="thin">
        <color auto="1"/>
      </bottom>
      <diagonal/>
    </border>
    <border>
      <left/>
      <right/>
      <top style="thin">
        <color indexed="64"/>
      </top>
      <bottom/>
      <diagonal/>
    </border>
    <border>
      <left/>
      <right/>
      <top style="thin">
        <color indexed="64"/>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auto="1"/>
      </right>
      <top/>
      <bottom style="medium">
        <color auto="1"/>
      </bottom>
      <diagonal/>
    </border>
    <border>
      <left style="medium">
        <color indexed="64"/>
      </left>
      <right style="medium">
        <color auto="1"/>
      </right>
      <top/>
      <bottom/>
      <diagonal/>
    </border>
    <border>
      <left style="medium">
        <color indexed="64"/>
      </left>
      <right style="medium">
        <color auto="1"/>
      </right>
      <top style="medium">
        <color auto="1"/>
      </top>
      <bottom/>
      <diagonal/>
    </border>
  </borders>
  <cellStyleXfs count="74">
    <xf numFmtId="0" fontId="0" fillId="0" borderId="0"/>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4" fillId="2"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0" borderId="0" applyNumberFormat="0" applyBorder="0" applyAlignment="0" applyProtection="0"/>
    <xf numFmtId="0" fontId="4" fillId="14" borderId="0" applyNumberFormat="0" applyBorder="0" applyAlignment="0" applyProtection="0"/>
    <xf numFmtId="0" fontId="5" fillId="4" borderId="0" applyNumberFormat="0" applyBorder="0" applyAlignment="0" applyProtection="0"/>
    <xf numFmtId="0" fontId="6" fillId="6" borderId="2" applyNumberFormat="0" applyAlignment="0" applyProtection="0"/>
    <xf numFmtId="0" fontId="7" fillId="15" borderId="3" applyNumberFormat="0" applyAlignment="0" applyProtection="0"/>
    <xf numFmtId="0" fontId="9" fillId="0" borderId="0" applyNumberFormat="0" applyFill="0" applyBorder="0" applyAlignment="0" applyProtection="0"/>
    <xf numFmtId="0" fontId="10" fillId="5" borderId="0" applyNumberFormat="0" applyBorder="0" applyAlignment="0" applyProtection="0"/>
    <xf numFmtId="0" fontId="11" fillId="0" borderId="4"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8" borderId="2" applyNumberFormat="0" applyAlignment="0" applyProtection="0"/>
    <xf numFmtId="0" fontId="15" fillId="0" borderId="6" applyNumberFormat="0" applyFill="0" applyAlignment="0" applyProtection="0"/>
    <xf numFmtId="0" fontId="16" fillId="16" borderId="0" applyNumberFormat="0" applyBorder="0" applyAlignment="0" applyProtection="0"/>
    <xf numFmtId="0" fontId="1" fillId="17" borderId="7" applyNumberFormat="0" applyFont="0" applyAlignment="0" applyProtection="0"/>
    <xf numFmtId="0" fontId="17" fillId="6" borderId="8" applyNumberFormat="0" applyAlignment="0" applyProtection="0"/>
    <xf numFmtId="0" fontId="19" fillId="0" borderId="0" applyNumberFormat="0" applyFill="0" applyBorder="0" applyAlignment="0" applyProtection="0"/>
    <xf numFmtId="0" fontId="8" fillId="0" borderId="9" applyNumberFormat="0" applyFill="0" applyAlignment="0" applyProtection="0"/>
    <xf numFmtId="0" fontId="20" fillId="0" borderId="0" applyNumberFormat="0" applyFill="0" applyBorder="0" applyAlignment="0" applyProtection="0"/>
    <xf numFmtId="0" fontId="26" fillId="0" borderId="0" applyNumberFormat="0" applyFill="0" applyBorder="0" applyAlignment="0" applyProtection="0">
      <alignment vertical="top"/>
      <protection locked="0"/>
    </xf>
    <xf numFmtId="43" fontId="29" fillId="0" borderId="0" applyFont="0" applyFill="0" applyBorder="0" applyAlignment="0" applyProtection="0"/>
    <xf numFmtId="41" fontId="29" fillId="0" borderId="0" applyFont="0" applyFill="0" applyBorder="0" applyAlignment="0" applyProtection="0"/>
    <xf numFmtId="44" fontId="29" fillId="0" borderId="0" applyFont="0" applyFill="0" applyBorder="0" applyAlignment="0" applyProtection="0"/>
    <xf numFmtId="42" fontId="29" fillId="0" borderId="0" applyFont="0" applyFill="0" applyBorder="0" applyAlignment="0" applyProtection="0"/>
    <xf numFmtId="9" fontId="29" fillId="0" borderId="0" applyFont="0" applyFill="0" applyBorder="0" applyAlignment="0" applyProtection="0"/>
    <xf numFmtId="0" fontId="43" fillId="0" borderId="0"/>
    <xf numFmtId="0" fontId="41" fillId="0" borderId="13" applyProtection="0">
      <alignment horizontal="left" vertical="center"/>
    </xf>
    <xf numFmtId="165" fontId="31" fillId="20" borderId="2" applyBorder="0">
      <alignment horizontal="right" vertical="center"/>
    </xf>
    <xf numFmtId="0" fontId="32" fillId="21" borderId="2" applyNumberFormat="0" applyBorder="0">
      <alignment horizontal="right"/>
    </xf>
    <xf numFmtId="0" fontId="33" fillId="22" borderId="1" applyNumberFormat="0" applyBorder="0">
      <alignment vertical="center"/>
    </xf>
    <xf numFmtId="165" fontId="30" fillId="23" borderId="10" applyBorder="0">
      <alignment horizontal="right" vertical="center"/>
    </xf>
    <xf numFmtId="0" fontId="46" fillId="0" borderId="0" applyNumberFormat="0"/>
    <xf numFmtId="0" fontId="34" fillId="0" borderId="0" applyBorder="0">
      <alignment horizontal="left" vertical="center"/>
    </xf>
    <xf numFmtId="0" fontId="39" fillId="0" borderId="13" applyNumberFormat="0">
      <alignment horizontal="left" vertical="center"/>
    </xf>
    <xf numFmtId="0" fontId="39" fillId="0" borderId="0" applyNumberFormat="0">
      <alignment horizontal="center" vertical="center"/>
    </xf>
    <xf numFmtId="0" fontId="39" fillId="0" borderId="12" applyNumberFormat="0">
      <alignment horizontal="right"/>
    </xf>
    <xf numFmtId="165" fontId="1" fillId="28" borderId="11" applyNumberFormat="0" applyBorder="0" applyAlignment="0" applyProtection="0">
      <alignment vertical="center"/>
    </xf>
    <xf numFmtId="164" fontId="1" fillId="0" borderId="0" applyFont="0" applyFill="0" applyBorder="0" applyAlignment="0" applyProtection="0"/>
    <xf numFmtId="0" fontId="22" fillId="29" borderId="0" applyNumberFormat="0" applyFont="0" applyBorder="0" applyAlignment="0" applyProtection="0"/>
    <xf numFmtId="9" fontId="22" fillId="0" borderId="0" applyFont="0" applyFill="0" applyBorder="0" applyAlignment="0" applyProtection="0"/>
    <xf numFmtId="9" fontId="22" fillId="0" borderId="0" applyFont="0" applyFill="0" applyBorder="0" applyAlignment="0"/>
    <xf numFmtId="0" fontId="18" fillId="26" borderId="0" applyNumberFormat="0">
      <alignment horizontal="center"/>
      <protection locked="0"/>
    </xf>
    <xf numFmtId="0" fontId="44" fillId="0" borderId="0" applyNumberFormat="0" applyFill="0" applyBorder="0" applyAlignment="0" applyProtection="0"/>
    <xf numFmtId="0" fontId="40" fillId="0" borderId="0" applyNumberFormat="0" applyFill="0" applyBorder="0" applyAlignment="0" applyProtection="0"/>
    <xf numFmtId="0" fontId="18" fillId="25" borderId="0" applyNumberFormat="0">
      <alignment horizontal="center" vertical="center"/>
      <protection locked="0"/>
    </xf>
    <xf numFmtId="0" fontId="18" fillId="24" borderId="0" applyNumberFormat="0">
      <alignment horizontal="center"/>
      <protection locked="0"/>
    </xf>
    <xf numFmtId="0" fontId="18" fillId="27" borderId="0" applyNumberFormat="0">
      <alignment horizontal="center"/>
      <protection locked="0"/>
    </xf>
    <xf numFmtId="0" fontId="1" fillId="0" borderId="0"/>
    <xf numFmtId="0" fontId="1" fillId="0" borderId="0"/>
    <xf numFmtId="0" fontId="39" fillId="0" borderId="14" applyNumberFormat="0">
      <alignment horizontal="right"/>
    </xf>
    <xf numFmtId="0" fontId="18" fillId="25" borderId="0">
      <alignment horizontal="center" vertical="center"/>
      <protection locked="0"/>
    </xf>
  </cellStyleXfs>
  <cellXfs count="880">
    <xf numFmtId="0" fontId="0" fillId="0" borderId="0" xfId="0"/>
    <xf numFmtId="0" fontId="1" fillId="18" borderId="0" xfId="0" applyFont="1" applyFill="1" applyBorder="1" applyAlignment="1">
      <alignment vertical="top"/>
    </xf>
    <xf numFmtId="0" fontId="18" fillId="18" borderId="0" xfId="0" applyFont="1" applyFill="1" applyBorder="1" applyAlignment="1">
      <alignment horizontal="left" vertical="top"/>
    </xf>
    <xf numFmtId="49" fontId="1" fillId="18" borderId="0" xfId="0" applyNumberFormat="1" applyFont="1" applyFill="1" applyBorder="1" applyAlignment="1">
      <alignment vertical="top"/>
    </xf>
    <xf numFmtId="0" fontId="1" fillId="0" borderId="0" xfId="0" applyFont="1" applyFill="1" applyBorder="1" applyAlignment="1">
      <alignment vertical="top"/>
    </xf>
    <xf numFmtId="0" fontId="28" fillId="18" borderId="0" xfId="0" applyFont="1" applyFill="1" applyBorder="1" applyAlignment="1">
      <alignment vertical="top"/>
    </xf>
    <xf numFmtId="0" fontId="18" fillId="0" borderId="0" xfId="0" applyFont="1" applyBorder="1" applyAlignment="1">
      <alignment horizontal="left" vertical="top"/>
    </xf>
    <xf numFmtId="0" fontId="1" fillId="0" borderId="0" xfId="0" applyFont="1" applyBorder="1" applyAlignment="1">
      <alignment vertical="top"/>
    </xf>
    <xf numFmtId="49" fontId="1" fillId="0" borderId="0" xfId="0" applyNumberFormat="1" applyFont="1" applyBorder="1" applyAlignment="1">
      <alignment vertical="top"/>
    </xf>
    <xf numFmtId="49" fontId="1" fillId="0" borderId="0" xfId="0" applyNumberFormat="1" applyFont="1" applyFill="1" applyBorder="1" applyAlignment="1">
      <alignment vertical="top"/>
    </xf>
    <xf numFmtId="49" fontId="21" fillId="0" borderId="0" xfId="0" applyNumberFormat="1" applyFont="1" applyBorder="1" applyAlignment="1">
      <alignment vertical="top"/>
    </xf>
    <xf numFmtId="0" fontId="22" fillId="0" borderId="0" xfId="0" applyFont="1" applyBorder="1" applyAlignment="1">
      <alignment vertical="top"/>
    </xf>
    <xf numFmtId="49" fontId="22" fillId="0" borderId="0" xfId="0" applyNumberFormat="1" applyFont="1" applyBorder="1" applyAlignment="1">
      <alignment vertical="top"/>
    </xf>
    <xf numFmtId="0" fontId="21" fillId="0" borderId="0" xfId="0" applyFont="1" applyBorder="1" applyAlignment="1">
      <alignment vertical="top"/>
    </xf>
    <xf numFmtId="0" fontId="18" fillId="19" borderId="0" xfId="0" applyFont="1" applyFill="1" applyBorder="1" applyAlignment="1">
      <alignment horizontal="left" vertical="top"/>
    </xf>
    <xf numFmtId="0" fontId="21" fillId="19" borderId="0" xfId="0" applyFont="1" applyFill="1" applyBorder="1" applyAlignment="1">
      <alignment vertical="top"/>
    </xf>
    <xf numFmtId="49" fontId="1" fillId="19" borderId="0" xfId="0" applyNumberFormat="1" applyFont="1" applyFill="1" applyBorder="1" applyAlignment="1">
      <alignment vertical="top"/>
    </xf>
    <xf numFmtId="0" fontId="2" fillId="19" borderId="0" xfId="0" applyFont="1" applyFill="1" applyBorder="1" applyAlignment="1">
      <alignment vertical="top"/>
    </xf>
    <xf numFmtId="0" fontId="27" fillId="19" borderId="0" xfId="0" applyFont="1" applyFill="1" applyBorder="1" applyAlignment="1">
      <alignment horizontal="justify" vertical="top" wrapText="1"/>
    </xf>
    <xf numFmtId="0" fontId="23" fillId="0" borderId="0" xfId="0" applyFont="1" applyBorder="1" applyAlignment="1">
      <alignment horizontal="left" vertical="top"/>
    </xf>
    <xf numFmtId="49" fontId="24" fillId="0" borderId="0" xfId="0" applyNumberFormat="1" applyFont="1"/>
    <xf numFmtId="0" fontId="1" fillId="0" borderId="0" xfId="0" applyFont="1"/>
    <xf numFmtId="49" fontId="22" fillId="0" borderId="0" xfId="0" applyNumberFormat="1" applyFont="1"/>
    <xf numFmtId="0" fontId="18" fillId="0" borderId="0" xfId="0" applyFont="1"/>
    <xf numFmtId="0" fontId="41" fillId="0" borderId="13" xfId="49">
      <alignment horizontal="left" vertical="center"/>
    </xf>
    <xf numFmtId="0" fontId="1" fillId="19" borderId="0" xfId="0" applyFont="1" applyFill="1" applyBorder="1" applyAlignment="1">
      <alignment vertical="top"/>
    </xf>
    <xf numFmtId="0" fontId="23" fillId="19" borderId="0" xfId="0" applyFont="1" applyFill="1" applyBorder="1" applyAlignment="1">
      <alignment horizontal="left" vertical="top"/>
    </xf>
    <xf numFmtId="0" fontId="41" fillId="0" borderId="0" xfId="49" applyFill="1" applyBorder="1">
      <alignment horizontal="left" vertical="center"/>
    </xf>
    <xf numFmtId="0" fontId="41" fillId="0" borderId="0" xfId="49" applyFont="1" applyFill="1" applyBorder="1">
      <alignment horizontal="left" vertical="center"/>
    </xf>
    <xf numFmtId="0" fontId="45" fillId="18" borderId="0" xfId="0" applyFont="1" applyFill="1" applyBorder="1" applyAlignment="1">
      <alignment horizontal="left" vertical="top"/>
    </xf>
    <xf numFmtId="0" fontId="45" fillId="0" borderId="0" xfId="0" applyFont="1" applyBorder="1" applyAlignment="1">
      <alignment horizontal="left" vertical="top"/>
    </xf>
    <xf numFmtId="0" fontId="45" fillId="18" borderId="0" xfId="0" applyFont="1" applyFill="1" applyBorder="1" applyAlignment="1">
      <alignment vertical="top"/>
    </xf>
    <xf numFmtId="0" fontId="38" fillId="18" borderId="0" xfId="0" applyFont="1" applyFill="1" applyBorder="1" applyAlignment="1">
      <alignment horizontal="left" vertical="top"/>
    </xf>
    <xf numFmtId="167" fontId="1" fillId="18" borderId="0" xfId="45" applyNumberFormat="1" applyFont="1" applyFill="1" applyBorder="1" applyAlignment="1">
      <alignment vertical="top"/>
    </xf>
    <xf numFmtId="0" fontId="0" fillId="0" borderId="0" xfId="0"/>
    <xf numFmtId="0" fontId="41" fillId="0" borderId="13" xfId="49" applyFont="1">
      <alignment horizontal="left" vertical="center"/>
    </xf>
    <xf numFmtId="0" fontId="35" fillId="18" borderId="0" xfId="0" applyFont="1" applyFill="1" applyBorder="1" applyAlignment="1">
      <alignment horizontal="left"/>
    </xf>
    <xf numFmtId="0" fontId="35" fillId="18" borderId="0" xfId="0" applyFont="1" applyFill="1" applyBorder="1" applyAlignment="1">
      <alignment horizontal="left" vertical="top"/>
    </xf>
    <xf numFmtId="0" fontId="35" fillId="0" borderId="0" xfId="0" applyFont="1" applyBorder="1" applyAlignment="1">
      <alignment horizontal="left" vertical="top"/>
    </xf>
    <xf numFmtId="0" fontId="35" fillId="0" borderId="0" xfId="0" applyFont="1"/>
    <xf numFmtId="0" fontId="48" fillId="0" borderId="0" xfId="65" applyFont="1" applyAlignment="1" applyProtection="1"/>
    <xf numFmtId="0" fontId="41" fillId="0" borderId="13" xfId="49" applyAlignment="1">
      <alignment horizontal="left" vertical="center"/>
    </xf>
    <xf numFmtId="0" fontId="41" fillId="0" borderId="13" xfId="49" applyAlignment="1">
      <alignment horizontal="right" vertical="center"/>
    </xf>
    <xf numFmtId="0" fontId="41" fillId="0" borderId="0" xfId="49" applyBorder="1" applyAlignment="1">
      <alignment horizontal="right" vertical="center"/>
    </xf>
    <xf numFmtId="0" fontId="49" fillId="0" borderId="0" xfId="65" applyFont="1" applyBorder="1" applyAlignment="1">
      <alignment horizontal="left" vertical="top"/>
    </xf>
    <xf numFmtId="0" fontId="41" fillId="0" borderId="0" xfId="49" applyBorder="1">
      <alignment horizontal="left" vertical="center"/>
    </xf>
    <xf numFmtId="0" fontId="39" fillId="0" borderId="14" xfId="58" applyBorder="1" applyAlignment="1">
      <alignment horizontal="left"/>
    </xf>
    <xf numFmtId="0" fontId="44" fillId="0" borderId="0" xfId="65" applyBorder="1" applyAlignment="1">
      <alignment vertical="top"/>
    </xf>
    <xf numFmtId="0" fontId="39" fillId="0" borderId="0" xfId="57">
      <alignment horizontal="center" vertical="center"/>
    </xf>
    <xf numFmtId="0" fontId="25" fillId="19" borderId="0" xfId="0" applyFont="1" applyFill="1" applyBorder="1" applyAlignment="1">
      <alignment horizontal="left" vertical="top" wrapText="1"/>
    </xf>
    <xf numFmtId="0" fontId="1" fillId="0" borderId="0" xfId="0" applyFont="1" applyFill="1" applyBorder="1" applyAlignment="1">
      <alignment horizontal="right"/>
    </xf>
    <xf numFmtId="3" fontId="1" fillId="0" borderId="0" xfId="0" applyNumberFormat="1" applyFont="1"/>
    <xf numFmtId="0" fontId="39" fillId="0" borderId="20" xfId="58" applyBorder="1" applyAlignment="1">
      <alignment horizontal="left"/>
    </xf>
    <xf numFmtId="3" fontId="18" fillId="0" borderId="0" xfId="0" applyNumberFormat="1" applyFont="1"/>
    <xf numFmtId="0" fontId="1" fillId="0" borderId="0" xfId="0" applyFont="1" applyFill="1" applyBorder="1" applyAlignment="1">
      <alignment horizontal="right" wrapText="1"/>
    </xf>
    <xf numFmtId="0" fontId="1" fillId="0" borderId="0" xfId="0" applyFont="1" applyFill="1" applyBorder="1" applyAlignment="1">
      <alignment horizontal="right" vertical="center" wrapText="1"/>
    </xf>
    <xf numFmtId="0" fontId="41" fillId="0" borderId="0" xfId="49" applyBorder="1" applyAlignment="1">
      <alignment horizontal="center" vertical="center"/>
    </xf>
    <xf numFmtId="0" fontId="1" fillId="0" borderId="0" xfId="0" applyFont="1" applyAlignment="1">
      <alignment horizontal="center"/>
    </xf>
    <xf numFmtId="0" fontId="1" fillId="0" borderId="0" xfId="0" applyFont="1" applyAlignment="1">
      <alignment wrapText="1"/>
    </xf>
    <xf numFmtId="0" fontId="0" fillId="0" borderId="0" xfId="0" applyAlignment="1"/>
    <xf numFmtId="0" fontId="1" fillId="0" borderId="0" xfId="0" applyFont="1" applyAlignment="1"/>
    <xf numFmtId="0" fontId="0" fillId="0" borderId="0" xfId="0" applyAlignment="1">
      <alignment wrapText="1"/>
    </xf>
    <xf numFmtId="0" fontId="41" fillId="0" borderId="0" xfId="49" applyBorder="1" applyAlignment="1">
      <alignment horizontal="right" vertical="center" wrapText="1"/>
    </xf>
    <xf numFmtId="0" fontId="36" fillId="0" borderId="15" xfId="0" applyFont="1" applyFill="1" applyBorder="1" applyAlignment="1">
      <alignment horizontal="right" vertical="center" wrapText="1"/>
    </xf>
    <xf numFmtId="0" fontId="1" fillId="0" borderId="0" xfId="0" applyNumberFormat="1" applyFont="1"/>
    <xf numFmtId="0" fontId="39" fillId="0" borderId="13" xfId="56" applyNumberFormat="1" applyAlignment="1">
      <alignment horizontal="left" vertical="center"/>
    </xf>
    <xf numFmtId="0" fontId="39" fillId="0" borderId="13" xfId="56" applyNumberFormat="1" applyAlignment="1">
      <alignment horizontal="right" vertical="center"/>
    </xf>
    <xf numFmtId="0" fontId="39" fillId="0" borderId="20" xfId="58" applyBorder="1" applyAlignment="1">
      <alignment horizontal="right"/>
    </xf>
    <xf numFmtId="0" fontId="1" fillId="0" borderId="0" xfId="0" applyNumberFormat="1" applyFont="1" applyFill="1" applyBorder="1" applyAlignment="1">
      <alignment horizontal="right"/>
    </xf>
    <xf numFmtId="0" fontId="41" fillId="0" borderId="13" xfId="49" applyFont="1" applyAlignment="1">
      <alignment vertical="center"/>
    </xf>
    <xf numFmtId="0" fontId="1" fillId="0" borderId="0" xfId="0" applyNumberFormat="1" applyFont="1" applyFill="1" applyBorder="1" applyAlignment="1">
      <alignment horizontal="right" wrapText="1"/>
    </xf>
    <xf numFmtId="0" fontId="41" fillId="0" borderId="13" xfId="49" applyFont="1" applyAlignment="1">
      <alignment vertical="center" wrapText="1"/>
    </xf>
    <xf numFmtId="0" fontId="39" fillId="0" borderId="13" xfId="56" applyNumberFormat="1" applyAlignment="1">
      <alignment horizontal="right" vertical="center" wrapText="1"/>
    </xf>
    <xf numFmtId="0" fontId="39" fillId="0" borderId="20" xfId="58" applyBorder="1" applyAlignment="1">
      <alignment horizontal="right" wrapText="1"/>
    </xf>
    <xf numFmtId="0" fontId="30" fillId="0" borderId="0" xfId="0" applyFont="1" applyFill="1" applyBorder="1" applyAlignment="1">
      <alignment horizontal="right"/>
    </xf>
    <xf numFmtId="0" fontId="1" fillId="0" borderId="0" xfId="0" applyFont="1" applyBorder="1"/>
    <xf numFmtId="0" fontId="41" fillId="0" borderId="23" xfId="49" applyBorder="1" applyAlignment="1">
      <alignment horizontal="right" vertical="center"/>
    </xf>
    <xf numFmtId="9" fontId="1" fillId="0" borderId="0" xfId="63" applyFont="1"/>
    <xf numFmtId="0" fontId="39" fillId="0" borderId="13" xfId="57" applyFont="1" applyBorder="1" applyAlignment="1">
      <alignment horizontal="right" vertical="center" wrapText="1"/>
    </xf>
    <xf numFmtId="0" fontId="55" fillId="0" borderId="0" xfId="0" applyFont="1" applyFill="1" applyBorder="1" applyAlignment="1">
      <alignment horizontal="right"/>
    </xf>
    <xf numFmtId="3" fontId="1" fillId="0" borderId="0" xfId="0" applyNumberFormat="1" applyFont="1" applyBorder="1"/>
    <xf numFmtId="0" fontId="52" fillId="0" borderId="0" xfId="0" applyFont="1" applyFill="1" applyBorder="1" applyAlignment="1">
      <alignment horizontal="right"/>
    </xf>
    <xf numFmtId="3" fontId="18" fillId="0" borderId="0" xfId="0" applyNumberFormat="1" applyFont="1" applyBorder="1"/>
    <xf numFmtId="0" fontId="51" fillId="0" borderId="0" xfId="0" applyFont="1" applyFill="1" applyBorder="1" applyAlignment="1">
      <alignment horizontal="right"/>
    </xf>
    <xf numFmtId="0" fontId="18" fillId="0" borderId="0" xfId="0" applyFont="1" applyBorder="1"/>
    <xf numFmtId="0" fontId="50" fillId="0" borderId="0" xfId="0" applyFont="1" applyFill="1" applyBorder="1" applyAlignment="1">
      <alignment horizontal="right"/>
    </xf>
    <xf numFmtId="0" fontId="0" fillId="0" borderId="0" xfId="0" applyAlignment="1">
      <alignment vertical="center"/>
    </xf>
    <xf numFmtId="170" fontId="41" fillId="0" borderId="0" xfId="49" applyNumberFormat="1" applyBorder="1" applyAlignment="1" applyProtection="1">
      <alignment vertical="center"/>
      <protection hidden="1"/>
    </xf>
    <xf numFmtId="0" fontId="18" fillId="0" borderId="28" xfId="60" applyNumberFormat="1" applyFont="1" applyFill="1" applyBorder="1" applyAlignment="1">
      <alignment horizontal="left" vertical="center"/>
    </xf>
    <xf numFmtId="0" fontId="58" fillId="0" borderId="28" xfId="54" applyFont="1" applyBorder="1" applyAlignment="1" applyProtection="1">
      <alignment vertical="center"/>
      <protection hidden="1"/>
    </xf>
    <xf numFmtId="0" fontId="1" fillId="0" borderId="0" xfId="60" applyNumberFormat="1" applyFont="1" applyFill="1" applyBorder="1" applyAlignment="1">
      <alignment horizontal="left" vertical="center"/>
    </xf>
    <xf numFmtId="0" fontId="41" fillId="0" borderId="13" xfId="49" applyAlignment="1">
      <alignment horizontal="center" vertical="center"/>
    </xf>
    <xf numFmtId="0" fontId="41" fillId="0" borderId="24" xfId="49" applyBorder="1">
      <alignment horizontal="left" vertical="center"/>
    </xf>
    <xf numFmtId="0" fontId="41" fillId="0" borderId="13" xfId="49" applyAlignment="1">
      <alignment horizontal="left" vertical="center" wrapText="1"/>
    </xf>
    <xf numFmtId="0" fontId="41" fillId="0" borderId="21" xfId="49" applyBorder="1">
      <alignment horizontal="left" vertical="center"/>
    </xf>
    <xf numFmtId="0" fontId="1" fillId="0" borderId="0" xfId="71"/>
    <xf numFmtId="0" fontId="1" fillId="0" borderId="0" xfId="71" applyAlignment="1">
      <alignment horizontal="center"/>
    </xf>
    <xf numFmtId="0" fontId="1" fillId="0" borderId="23" xfId="71" applyBorder="1"/>
    <xf numFmtId="0" fontId="1" fillId="0" borderId="0" xfId="71" applyAlignment="1">
      <alignment wrapText="1"/>
    </xf>
    <xf numFmtId="0" fontId="1" fillId="0" borderId="22" xfId="71" applyBorder="1"/>
    <xf numFmtId="0" fontId="35" fillId="0" borderId="0" xfId="71" applyFont="1"/>
    <xf numFmtId="49" fontId="24" fillId="0" borderId="0" xfId="71" applyNumberFormat="1" applyFont="1"/>
    <xf numFmtId="49" fontId="22" fillId="0" borderId="0" xfId="71" applyNumberFormat="1" applyFont="1"/>
    <xf numFmtId="0" fontId="1" fillId="0" borderId="0" xfId="71" applyAlignment="1">
      <alignment horizontal="right" vertical="center"/>
    </xf>
    <xf numFmtId="0" fontId="36" fillId="0" borderId="0" xfId="71" applyFont="1" applyAlignment="1">
      <alignment horizontal="right" vertical="center" wrapText="1"/>
    </xf>
    <xf numFmtId="0" fontId="36" fillId="0" borderId="16" xfId="71" applyFont="1" applyBorder="1" applyAlignment="1">
      <alignment horizontal="right" vertical="center" wrapText="1"/>
    </xf>
    <xf numFmtId="0" fontId="36" fillId="0" borderId="28" xfId="71" applyFont="1" applyBorder="1" applyAlignment="1">
      <alignment horizontal="right" vertical="center" wrapText="1"/>
    </xf>
    <xf numFmtId="0" fontId="36" fillId="0" borderId="27" xfId="71" applyFont="1" applyBorder="1" applyAlignment="1">
      <alignment horizontal="right" vertical="center" wrapText="1"/>
    </xf>
    <xf numFmtId="0" fontId="36" fillId="0" borderId="17" xfId="71" applyFont="1" applyBorder="1" applyAlignment="1">
      <alignment horizontal="right" vertical="center" wrapText="1"/>
    </xf>
    <xf numFmtId="0" fontId="1" fillId="0" borderId="0" xfId="71" applyAlignment="1">
      <alignment horizontal="right"/>
    </xf>
    <xf numFmtId="9" fontId="1" fillId="0" borderId="0" xfId="71" applyNumberFormat="1"/>
    <xf numFmtId="0" fontId="18" fillId="0" borderId="14" xfId="71" applyFont="1" applyBorder="1"/>
    <xf numFmtId="9" fontId="18" fillId="0" borderId="14" xfId="71" applyNumberFormat="1" applyFont="1" applyBorder="1"/>
    <xf numFmtId="0" fontId="1" fillId="0" borderId="0" xfId="60" applyNumberFormat="1" applyFont="1" applyFill="1" applyBorder="1" applyAlignment="1">
      <alignment horizontal="left" vertical="center" wrapText="1"/>
    </xf>
    <xf numFmtId="173" fontId="47" fillId="0" borderId="0" xfId="63" applyNumberFormat="1" applyFont="1" applyAlignment="1">
      <alignment horizontal="right" vertical="center"/>
    </xf>
    <xf numFmtId="0" fontId="18" fillId="0" borderId="0" xfId="55" applyFont="1" applyFill="1" applyBorder="1">
      <alignment horizontal="left" vertical="center"/>
    </xf>
    <xf numFmtId="0" fontId="18" fillId="0" borderId="0" xfId="60" applyNumberFormat="1" applyFont="1" applyFill="1" applyBorder="1" applyAlignment="1">
      <alignment horizontal="left" vertical="center"/>
    </xf>
    <xf numFmtId="0" fontId="41" fillId="0" borderId="13" xfId="49" applyFont="1" applyAlignment="1">
      <alignment horizontal="center" vertical="center"/>
    </xf>
    <xf numFmtId="0" fontId="0" fillId="0" borderId="0" xfId="0" applyAlignment="1">
      <alignment horizontal="center"/>
    </xf>
    <xf numFmtId="3" fontId="1" fillId="0" borderId="0" xfId="0" applyNumberFormat="1" applyFont="1" applyAlignment="1">
      <alignment horizontal="center"/>
    </xf>
    <xf numFmtId="166" fontId="18" fillId="0" borderId="0" xfId="60" applyNumberFormat="1" applyFont="1" applyBorder="1" applyAlignment="1">
      <alignment horizontal="center" vertical="center"/>
    </xf>
    <xf numFmtId="0" fontId="1" fillId="0" borderId="0" xfId="0" applyFont="1" applyAlignment="1">
      <alignment horizontal="right"/>
    </xf>
    <xf numFmtId="0" fontId="0" fillId="0" borderId="0" xfId="60" applyNumberFormat="1" applyFont="1" applyFill="1" applyBorder="1" applyAlignment="1">
      <alignment horizontal="right" vertical="center" indent="1"/>
    </xf>
    <xf numFmtId="0" fontId="1" fillId="28" borderId="26" xfId="59" applyNumberFormat="1" applyBorder="1" applyAlignment="1" applyProtection="1">
      <alignment vertical="center"/>
      <protection hidden="1"/>
    </xf>
    <xf numFmtId="172" fontId="37" fillId="0" borderId="0" xfId="56" applyNumberFormat="1" applyFont="1" applyFill="1" applyBorder="1" applyAlignment="1">
      <alignment horizontal="left" vertical="center"/>
    </xf>
    <xf numFmtId="172" fontId="30" fillId="0" borderId="0" xfId="56" applyNumberFormat="1" applyFont="1" applyFill="1" applyBorder="1" applyAlignment="1">
      <alignment horizontal="right" vertical="center"/>
    </xf>
    <xf numFmtId="0" fontId="30" fillId="0" borderId="0" xfId="56" applyNumberFormat="1" applyFont="1" applyFill="1" applyBorder="1" applyAlignment="1">
      <alignment horizontal="right" vertical="center"/>
    </xf>
    <xf numFmtId="164" fontId="30" fillId="0" borderId="0" xfId="56" applyNumberFormat="1" applyFont="1" applyFill="1" applyBorder="1" applyAlignment="1">
      <alignment horizontal="right" vertical="center"/>
    </xf>
    <xf numFmtId="0" fontId="1" fillId="0" borderId="0" xfId="0" applyFont="1" applyFill="1" applyBorder="1" applyAlignment="1">
      <alignment horizontal="right" vertical="center"/>
    </xf>
    <xf numFmtId="164" fontId="1" fillId="0" borderId="0" xfId="0" applyNumberFormat="1" applyFont="1" applyFill="1" applyBorder="1" applyAlignment="1">
      <alignment horizontal="right" vertical="center"/>
    </xf>
    <xf numFmtId="166" fontId="47" fillId="0" borderId="28" xfId="60" applyNumberFormat="1" applyFont="1" applyBorder="1" applyAlignment="1">
      <alignment horizontal="right" vertical="center"/>
    </xf>
    <xf numFmtId="166" fontId="46" fillId="0" borderId="0" xfId="60" applyNumberFormat="1" applyFont="1" applyFill="1" applyBorder="1" applyAlignment="1">
      <alignment horizontal="right" vertical="center"/>
    </xf>
    <xf numFmtId="0" fontId="1" fillId="0" borderId="0" xfId="55" applyFont="1" applyFill="1" applyBorder="1" applyAlignment="1">
      <alignment horizontal="right" vertical="center"/>
    </xf>
    <xf numFmtId="0" fontId="30" fillId="0" borderId="0" xfId="56" applyFont="1" applyFill="1" applyBorder="1" applyAlignment="1">
      <alignment horizontal="right" vertical="center"/>
    </xf>
    <xf numFmtId="0" fontId="39" fillId="0" borderId="28" xfId="56" applyBorder="1" applyAlignment="1">
      <alignment horizontal="right" vertical="center"/>
    </xf>
    <xf numFmtId="0" fontId="39" fillId="0" borderId="28" xfId="56" applyBorder="1" applyAlignment="1">
      <alignment horizontal="left" vertical="center"/>
    </xf>
    <xf numFmtId="168" fontId="46" fillId="0" borderId="0" xfId="60" applyNumberFormat="1" applyFont="1" applyFill="1" applyBorder="1" applyAlignment="1">
      <alignment horizontal="right" vertical="center"/>
    </xf>
    <xf numFmtId="164" fontId="46" fillId="0" borderId="0" xfId="60" applyNumberFormat="1" applyFont="1" applyFill="1" applyBorder="1" applyAlignment="1">
      <alignment horizontal="right" vertical="center"/>
    </xf>
    <xf numFmtId="164" fontId="47" fillId="0" borderId="0" xfId="60" applyNumberFormat="1" applyFont="1" applyFill="1" applyBorder="1" applyAlignment="1">
      <alignment horizontal="right" vertical="center"/>
    </xf>
    <xf numFmtId="0" fontId="18" fillId="0" borderId="0" xfId="55" applyFont="1" applyFill="1" applyBorder="1" applyAlignment="1">
      <alignment horizontal="right" vertical="center"/>
    </xf>
    <xf numFmtId="0" fontId="49" fillId="0" borderId="0" xfId="65" applyNumberFormat="1" applyFont="1" applyFill="1" applyBorder="1" applyAlignment="1" applyProtection="1">
      <alignment horizontal="right" vertical="center"/>
      <protection hidden="1"/>
    </xf>
    <xf numFmtId="166" fontId="47" fillId="0" borderId="0" xfId="60" applyNumberFormat="1" applyFont="1" applyFill="1" applyBorder="1" applyAlignment="1">
      <alignment horizontal="right" vertical="center"/>
    </xf>
    <xf numFmtId="168" fontId="47" fillId="0" borderId="0" xfId="60" applyNumberFormat="1" applyFont="1" applyFill="1" applyBorder="1" applyAlignment="1">
      <alignment horizontal="right" vertical="center"/>
    </xf>
    <xf numFmtId="0" fontId="1" fillId="28" borderId="26" xfId="59" applyNumberFormat="1" applyBorder="1" applyAlignment="1" applyProtection="1">
      <alignment vertical="center" wrapText="1"/>
      <protection hidden="1"/>
    </xf>
    <xf numFmtId="0" fontId="41" fillId="0" borderId="13" xfId="49" applyAlignment="1" applyProtection="1">
      <alignment horizontal="right" vertical="center"/>
      <protection hidden="1"/>
    </xf>
    <xf numFmtId="0" fontId="37" fillId="0" borderId="0" xfId="0" applyFont="1" applyFill="1" applyBorder="1" applyAlignment="1">
      <alignment horizontal="left" vertical="center"/>
    </xf>
    <xf numFmtId="0" fontId="54" fillId="0" borderId="28" xfId="56" applyFont="1" applyBorder="1" applyAlignment="1">
      <alignment horizontal="right" vertical="center"/>
    </xf>
    <xf numFmtId="0" fontId="59" fillId="0" borderId="28" xfId="54" applyFont="1" applyBorder="1" applyAlignment="1" applyProtection="1">
      <alignment horizontal="center" vertical="center"/>
      <protection hidden="1"/>
    </xf>
    <xf numFmtId="0" fontId="36" fillId="0" borderId="29" xfId="71" applyFont="1" applyBorder="1" applyAlignment="1">
      <alignment horizontal="right" vertical="center" wrapText="1"/>
    </xf>
    <xf numFmtId="0" fontId="18" fillId="0" borderId="27" xfId="71" applyFont="1" applyBorder="1" applyAlignment="1">
      <alignment horizontal="center" vertical="center" wrapText="1"/>
    </xf>
    <xf numFmtId="0" fontId="18" fillId="0" borderId="28" xfId="71" applyFont="1" applyBorder="1" applyAlignment="1">
      <alignment horizontal="center" vertical="center" wrapText="1"/>
    </xf>
    <xf numFmtId="0" fontId="18" fillId="0" borderId="29" xfId="71" applyFont="1" applyBorder="1" applyAlignment="1">
      <alignment horizontal="center" vertical="center" wrapText="1"/>
    </xf>
    <xf numFmtId="0" fontId="18" fillId="0" borderId="33" xfId="71" applyFont="1" applyBorder="1" applyAlignment="1">
      <alignment horizontal="center" vertical="center" wrapText="1"/>
    </xf>
    <xf numFmtId="0" fontId="18" fillId="0" borderId="28" xfId="71" applyFont="1" applyBorder="1" applyAlignment="1">
      <alignment horizontal="right" vertical="center" wrapText="1"/>
    </xf>
    <xf numFmtId="0" fontId="18" fillId="0" borderId="27" xfId="71" applyFont="1" applyBorder="1" applyAlignment="1">
      <alignment horizontal="right" vertical="center" wrapText="1"/>
    </xf>
    <xf numFmtId="0" fontId="36" fillId="0" borderId="26" xfId="71" applyFont="1" applyBorder="1" applyAlignment="1">
      <alignment horizontal="right" vertical="center"/>
    </xf>
    <xf numFmtId="0" fontId="36" fillId="0" borderId="26" xfId="71" applyFont="1" applyBorder="1" applyAlignment="1">
      <alignment horizontal="center" vertical="center" wrapText="1"/>
    </xf>
    <xf numFmtId="0" fontId="36" fillId="0" borderId="26" xfId="71" applyFont="1" applyBorder="1" applyAlignment="1">
      <alignment horizontal="right" vertical="center" wrapText="1"/>
    </xf>
    <xf numFmtId="0" fontId="18" fillId="0" borderId="29" xfId="71" applyFont="1" applyBorder="1" applyAlignment="1">
      <alignment horizontal="right" vertical="center" wrapText="1"/>
    </xf>
    <xf numFmtId="0" fontId="56" fillId="0" borderId="19" xfId="71" applyFont="1" applyBorder="1" applyAlignment="1">
      <alignment horizontal="right" vertical="center" wrapText="1"/>
    </xf>
    <xf numFmtId="0" fontId="1" fillId="0" borderId="0" xfId="71" applyBorder="1" applyAlignment="1">
      <alignment vertical="center"/>
    </xf>
    <xf numFmtId="0" fontId="1" fillId="0" borderId="0" xfId="71" applyAlignment="1">
      <alignment vertical="center"/>
    </xf>
    <xf numFmtId="0" fontId="1" fillId="0" borderId="23" xfId="71" applyBorder="1" applyAlignment="1">
      <alignment vertical="center"/>
    </xf>
    <xf numFmtId="0" fontId="51" fillId="0" borderId="18" xfId="71" applyFont="1" applyBorder="1" applyAlignment="1">
      <alignment horizontal="right" vertical="center"/>
    </xf>
    <xf numFmtId="166" fontId="1" fillId="31" borderId="22" xfId="60" applyNumberFormat="1" applyFont="1" applyFill="1" applyBorder="1" applyAlignment="1">
      <alignment horizontal="right" vertical="center"/>
    </xf>
    <xf numFmtId="1" fontId="1" fillId="31" borderId="0" xfId="71" applyNumberFormat="1" applyFont="1" applyFill="1" applyBorder="1" applyAlignment="1">
      <alignment horizontal="right" vertical="center"/>
    </xf>
    <xf numFmtId="166" fontId="1" fillId="31" borderId="0" xfId="60" applyNumberFormat="1" applyFont="1" applyFill="1" applyBorder="1" applyAlignment="1">
      <alignment horizontal="right" vertical="center"/>
    </xf>
    <xf numFmtId="2" fontId="1" fillId="31" borderId="0" xfId="71" applyNumberFormat="1" applyFill="1" applyBorder="1" applyAlignment="1">
      <alignment horizontal="right" vertical="center"/>
    </xf>
    <xf numFmtId="1" fontId="18" fillId="31" borderId="0" xfId="71" applyNumberFormat="1" applyFont="1" applyFill="1" applyBorder="1" applyAlignment="1">
      <alignment horizontal="right" vertical="center"/>
    </xf>
    <xf numFmtId="1" fontId="18" fillId="31" borderId="23" xfId="71" applyNumberFormat="1" applyFont="1" applyFill="1" applyBorder="1" applyAlignment="1">
      <alignment horizontal="right" vertical="center"/>
    </xf>
    <xf numFmtId="166" fontId="1" fillId="31" borderId="22" xfId="60" applyNumberFormat="1" applyFill="1" applyBorder="1" applyAlignment="1">
      <alignment horizontal="right" vertical="center"/>
    </xf>
    <xf numFmtId="1" fontId="1" fillId="31" borderId="0" xfId="71" applyNumberFormat="1" applyFill="1" applyBorder="1" applyAlignment="1">
      <alignment horizontal="right" vertical="center"/>
    </xf>
    <xf numFmtId="166" fontId="1" fillId="31" borderId="0" xfId="60" applyNumberFormat="1" applyFill="1" applyBorder="1" applyAlignment="1">
      <alignment horizontal="right" vertical="center"/>
    </xf>
    <xf numFmtId="2" fontId="1" fillId="31" borderId="22" xfId="71" applyNumberFormat="1" applyFill="1" applyBorder="1" applyAlignment="1">
      <alignment horizontal="right" vertical="center"/>
    </xf>
    <xf numFmtId="174" fontId="1" fillId="31" borderId="0" xfId="63" applyNumberFormat="1" applyFont="1" applyFill="1" applyBorder="1" applyAlignment="1">
      <alignment horizontal="right" vertical="center"/>
    </xf>
    <xf numFmtId="9" fontId="1" fillId="31" borderId="0" xfId="63" applyNumberFormat="1" applyFont="1" applyFill="1" applyBorder="1" applyAlignment="1">
      <alignment horizontal="right" vertical="center"/>
    </xf>
    <xf numFmtId="2" fontId="1" fillId="31" borderId="18" xfId="71" applyNumberFormat="1" applyFill="1" applyBorder="1" applyAlignment="1">
      <alignment horizontal="right" vertical="center"/>
    </xf>
    <xf numFmtId="1" fontId="18" fillId="31" borderId="34" xfId="71" applyNumberFormat="1" applyFont="1" applyFill="1" applyBorder="1" applyAlignment="1">
      <alignment horizontal="right" vertical="center"/>
    </xf>
    <xf numFmtId="0" fontId="39" fillId="0" borderId="22" xfId="72" applyBorder="1" applyAlignment="1">
      <alignment horizontal="left" vertical="center"/>
    </xf>
    <xf numFmtId="0" fontId="39" fillId="0" borderId="23" xfId="72" applyBorder="1" applyAlignment="1">
      <alignment horizontal="right" vertical="center"/>
    </xf>
    <xf numFmtId="166" fontId="18" fillId="0" borderId="22" xfId="60" applyNumberFormat="1" applyFont="1" applyBorder="1" applyAlignment="1">
      <alignment horizontal="right" vertical="center"/>
    </xf>
    <xf numFmtId="166" fontId="18" fillId="0" borderId="0" xfId="60" applyNumberFormat="1" applyFont="1" applyBorder="1" applyAlignment="1">
      <alignment horizontal="right" vertical="center"/>
    </xf>
    <xf numFmtId="3" fontId="18" fillId="30" borderId="0" xfId="72" applyNumberFormat="1" applyFont="1" applyFill="1" applyBorder="1" applyAlignment="1">
      <alignment horizontal="right" vertical="center"/>
    </xf>
    <xf numFmtId="3" fontId="39" fillId="30" borderId="23" xfId="72" applyNumberFormat="1" applyFill="1" applyBorder="1" applyAlignment="1">
      <alignment horizontal="right" vertical="center"/>
    </xf>
    <xf numFmtId="3" fontId="18" fillId="30" borderId="22" xfId="72" applyNumberFormat="1" applyFont="1" applyFill="1" applyBorder="1" applyAlignment="1">
      <alignment horizontal="right" vertical="center"/>
    </xf>
    <xf numFmtId="3" fontId="18" fillId="30" borderId="23" xfId="72" applyNumberFormat="1" applyFont="1" applyFill="1" applyBorder="1" applyAlignment="1">
      <alignment horizontal="right" vertical="center"/>
    </xf>
    <xf numFmtId="3" fontId="39" fillId="30" borderId="0" xfId="72" applyNumberFormat="1" applyFill="1" applyBorder="1" applyAlignment="1">
      <alignment horizontal="right" vertical="center"/>
    </xf>
    <xf numFmtId="3" fontId="39" fillId="30" borderId="22" xfId="72" applyNumberFormat="1" applyFill="1" applyBorder="1" applyAlignment="1">
      <alignment horizontal="right" vertical="center"/>
    </xf>
    <xf numFmtId="9" fontId="39" fillId="30" borderId="0" xfId="63" applyFont="1" applyFill="1" applyBorder="1" applyAlignment="1">
      <alignment horizontal="right" vertical="center"/>
    </xf>
    <xf numFmtId="169" fontId="39" fillId="30" borderId="0" xfId="72" applyNumberFormat="1" applyFill="1" applyBorder="1" applyAlignment="1">
      <alignment horizontal="right" vertical="center"/>
    </xf>
    <xf numFmtId="3" fontId="39" fillId="30" borderId="18" xfId="72" applyNumberFormat="1" applyFill="1" applyBorder="1" applyAlignment="1">
      <alignment horizontal="right" vertical="center"/>
    </xf>
    <xf numFmtId="3" fontId="39" fillId="30" borderId="34" xfId="72" applyNumberFormat="1" applyFill="1" applyBorder="1" applyAlignment="1">
      <alignment horizontal="right" vertical="center"/>
    </xf>
    <xf numFmtId="0" fontId="1" fillId="29" borderId="22" xfId="61" applyFont="1" applyBorder="1" applyAlignment="1">
      <alignment horizontal="left" vertical="center"/>
    </xf>
    <xf numFmtId="0" fontId="1" fillId="29" borderId="23" xfId="61" applyFont="1" applyBorder="1" applyAlignment="1">
      <alignment horizontal="right" vertical="center"/>
    </xf>
    <xf numFmtId="166" fontId="1" fillId="29" borderId="22" xfId="60" applyNumberFormat="1" applyFont="1" applyFill="1" applyBorder="1" applyAlignment="1">
      <alignment horizontal="right" vertical="center"/>
    </xf>
    <xf numFmtId="166" fontId="1" fillId="29" borderId="0" xfId="60" applyNumberFormat="1" applyFont="1" applyFill="1" applyBorder="1" applyAlignment="1">
      <alignment horizontal="right" vertical="center"/>
    </xf>
    <xf numFmtId="3" fontId="1" fillId="30" borderId="0" xfId="61" applyNumberFormat="1" applyFont="1" applyFill="1" applyBorder="1" applyAlignment="1">
      <alignment horizontal="right" vertical="center"/>
    </xf>
    <xf numFmtId="3" fontId="1" fillId="30" borderId="23" xfId="61" applyNumberFormat="1" applyFont="1" applyFill="1" applyBorder="1" applyAlignment="1">
      <alignment horizontal="right" vertical="center"/>
    </xf>
    <xf numFmtId="3" fontId="1" fillId="30" borderId="22" xfId="61" applyNumberFormat="1" applyFont="1" applyFill="1" applyBorder="1" applyAlignment="1">
      <alignment horizontal="right" vertical="center"/>
    </xf>
    <xf numFmtId="9" fontId="1" fillId="30" borderId="0" xfId="63" applyFont="1" applyFill="1" applyBorder="1" applyAlignment="1">
      <alignment horizontal="right" vertical="center"/>
    </xf>
    <xf numFmtId="169" fontId="1" fillId="30" borderId="0" xfId="61" applyNumberFormat="1" applyFont="1" applyFill="1" applyBorder="1" applyAlignment="1">
      <alignment horizontal="right" vertical="center"/>
    </xf>
    <xf numFmtId="3" fontId="1" fillId="30" borderId="18" xfId="61" applyNumberFormat="1" applyFont="1" applyFill="1" applyBorder="1" applyAlignment="1">
      <alignment horizontal="right" vertical="center"/>
    </xf>
    <xf numFmtId="3" fontId="1" fillId="30" borderId="34" xfId="61" applyNumberFormat="1" applyFont="1" applyFill="1" applyBorder="1" applyAlignment="1">
      <alignment horizontal="right" vertical="center"/>
    </xf>
    <xf numFmtId="0" fontId="1" fillId="29" borderId="21" xfId="61" applyFont="1" applyBorder="1" applyAlignment="1">
      <alignment horizontal="left" vertical="center"/>
    </xf>
    <xf numFmtId="0" fontId="1" fillId="29" borderId="24" xfId="61" applyFont="1" applyBorder="1" applyAlignment="1">
      <alignment horizontal="right" vertical="center"/>
    </xf>
    <xf numFmtId="166" fontId="1" fillId="29" borderId="21" xfId="60" applyNumberFormat="1" applyFont="1" applyFill="1" applyBorder="1" applyAlignment="1">
      <alignment horizontal="right" vertical="center"/>
    </xf>
    <xf numFmtId="166" fontId="1" fillId="29" borderId="13" xfId="60" applyNumberFormat="1" applyFont="1" applyFill="1" applyBorder="1" applyAlignment="1">
      <alignment horizontal="right" vertical="center"/>
    </xf>
    <xf numFmtId="3" fontId="1" fillId="30" borderId="13" xfId="61" applyNumberFormat="1" applyFont="1" applyFill="1" applyBorder="1" applyAlignment="1">
      <alignment horizontal="right" vertical="center"/>
    </xf>
    <xf numFmtId="3" fontId="1" fillId="30" borderId="24" xfId="61" applyNumberFormat="1" applyFont="1" applyFill="1" applyBorder="1" applyAlignment="1">
      <alignment horizontal="right" vertical="center"/>
    </xf>
    <xf numFmtId="3" fontId="1" fillId="30" borderId="21" xfId="61" applyNumberFormat="1" applyFont="1" applyFill="1" applyBorder="1" applyAlignment="1">
      <alignment horizontal="right" vertical="center"/>
    </xf>
    <xf numFmtId="9" fontId="1" fillId="30" borderId="13" xfId="63" applyFont="1" applyFill="1" applyBorder="1" applyAlignment="1">
      <alignment horizontal="right" vertical="center"/>
    </xf>
    <xf numFmtId="169" fontId="1" fillId="30" borderId="13" xfId="61" applyNumberFormat="1" applyFont="1" applyFill="1" applyBorder="1" applyAlignment="1">
      <alignment horizontal="right" vertical="center"/>
    </xf>
    <xf numFmtId="3" fontId="1" fillId="30" borderId="17" xfId="61" applyNumberFormat="1" applyFont="1" applyFill="1" applyBorder="1" applyAlignment="1">
      <alignment horizontal="right" vertical="center"/>
    </xf>
    <xf numFmtId="3" fontId="1" fillId="30" borderId="35" xfId="61" applyNumberFormat="1" applyFont="1" applyFill="1" applyBorder="1" applyAlignment="1">
      <alignment horizontal="right" vertical="center"/>
    </xf>
    <xf numFmtId="3" fontId="1" fillId="30" borderId="36" xfId="61" applyNumberFormat="1" applyFont="1" applyFill="1" applyBorder="1" applyAlignment="1">
      <alignment horizontal="right" vertical="center"/>
    </xf>
    <xf numFmtId="9" fontId="1" fillId="0" borderId="0" xfId="0" applyNumberFormat="1" applyFont="1"/>
    <xf numFmtId="4" fontId="1" fillId="0" borderId="0" xfId="71" applyNumberFormat="1" applyAlignment="1">
      <alignment horizontal="right"/>
    </xf>
    <xf numFmtId="0" fontId="18" fillId="0" borderId="28" xfId="55" applyFont="1" applyFill="1" applyBorder="1" applyAlignment="1">
      <alignment horizontal="right" vertical="center"/>
    </xf>
    <xf numFmtId="0" fontId="18" fillId="27" borderId="26" xfId="69" applyNumberFormat="1" applyBorder="1" applyAlignment="1">
      <alignment horizontal="center" vertical="center"/>
      <protection locked="0"/>
    </xf>
    <xf numFmtId="166" fontId="1" fillId="0" borderId="0" xfId="71" applyNumberFormat="1"/>
    <xf numFmtId="3" fontId="1" fillId="0" borderId="0" xfId="71" applyNumberFormat="1"/>
    <xf numFmtId="0" fontId="1" fillId="0" borderId="0" xfId="0" applyNumberFormat="1" applyFont="1" applyFill="1" applyBorder="1" applyAlignment="1">
      <alignment horizontal="right" vertical="center"/>
    </xf>
    <xf numFmtId="0" fontId="1" fillId="0" borderId="0" xfId="0" applyNumberFormat="1" applyFont="1" applyFill="1" applyBorder="1" applyAlignment="1">
      <alignment vertical="center" wrapText="1"/>
    </xf>
    <xf numFmtId="0" fontId="36" fillId="0" borderId="0" xfId="0" applyFont="1" applyFill="1" applyBorder="1" applyAlignment="1">
      <alignment vertical="center" wrapText="1"/>
    </xf>
    <xf numFmtId="0" fontId="1" fillId="0" borderId="0" xfId="57" applyFont="1" applyFill="1" applyBorder="1" applyAlignment="1">
      <alignment vertical="center" wrapText="1"/>
    </xf>
    <xf numFmtId="0" fontId="1" fillId="0" borderId="0" xfId="0" applyFont="1" applyFill="1" applyBorder="1" applyAlignment="1">
      <alignment vertical="center"/>
    </xf>
    <xf numFmtId="0" fontId="44" fillId="0" borderId="0" xfId="65" applyFont="1" applyFill="1" applyBorder="1" applyAlignment="1">
      <alignment vertical="center" wrapText="1"/>
    </xf>
    <xf numFmtId="0" fontId="44" fillId="0" borderId="0" xfId="65" applyFill="1" applyBorder="1" applyAlignment="1">
      <alignment vertical="center" wrapText="1"/>
    </xf>
    <xf numFmtId="0" fontId="44" fillId="0" borderId="0" xfId="65" applyNumberFormat="1" applyFont="1" applyFill="1" applyBorder="1" applyAlignment="1">
      <alignment vertical="center" wrapText="1"/>
    </xf>
    <xf numFmtId="0" fontId="44" fillId="0" borderId="0" xfId="65" applyNumberFormat="1" applyFill="1" applyBorder="1" applyAlignment="1">
      <alignment vertical="center" wrapText="1"/>
    </xf>
    <xf numFmtId="175" fontId="1" fillId="18" borderId="0" xfId="0" applyNumberFormat="1" applyFont="1" applyFill="1" applyBorder="1" applyAlignment="1">
      <alignment horizontal="left" vertical="top"/>
    </xf>
    <xf numFmtId="0" fontId="1" fillId="28" borderId="26" xfId="59" applyNumberFormat="1" applyBorder="1" applyAlignment="1" applyProtection="1">
      <alignment horizontal="right" vertical="center"/>
      <protection hidden="1"/>
    </xf>
    <xf numFmtId="0" fontId="46" fillId="0" borderId="0" xfId="0" applyFont="1"/>
    <xf numFmtId="3" fontId="46" fillId="0" borderId="0" xfId="0" applyNumberFormat="1" applyFont="1"/>
    <xf numFmtId="39" fontId="46" fillId="0" borderId="0" xfId="63" applyNumberFormat="1" applyFont="1" applyFill="1" applyBorder="1" applyAlignment="1">
      <alignment horizontal="right" vertical="center"/>
    </xf>
    <xf numFmtId="0" fontId="46" fillId="0" borderId="0" xfId="60" applyNumberFormat="1" applyFont="1" applyFill="1" applyBorder="1" applyAlignment="1" applyProtection="1">
      <alignment horizontal="right" vertical="center"/>
      <protection hidden="1"/>
    </xf>
    <xf numFmtId="164" fontId="46" fillId="0" borderId="0" xfId="60" applyNumberFormat="1" applyFont="1" applyFill="1" applyBorder="1" applyAlignment="1">
      <alignment horizontal="right"/>
    </xf>
    <xf numFmtId="0" fontId="47" fillId="0" borderId="0" xfId="60" applyNumberFormat="1" applyFont="1" applyFill="1" applyBorder="1" applyAlignment="1" applyProtection="1">
      <alignment horizontal="right" vertical="center"/>
      <protection hidden="1"/>
    </xf>
    <xf numFmtId="164" fontId="47" fillId="0" borderId="0" xfId="60" applyNumberFormat="1" applyFont="1" applyFill="1" applyBorder="1" applyAlignment="1">
      <alignment horizontal="right"/>
    </xf>
    <xf numFmtId="0" fontId="46" fillId="0" borderId="0" xfId="60" applyNumberFormat="1" applyFont="1" applyFill="1" applyBorder="1" applyAlignment="1">
      <alignment horizontal="left" vertical="center"/>
    </xf>
    <xf numFmtId="166" fontId="46" fillId="0" borderId="0" xfId="56" applyNumberFormat="1" applyFont="1" applyFill="1" applyBorder="1" applyAlignment="1">
      <alignment horizontal="right" vertical="center"/>
    </xf>
    <xf numFmtId="166" fontId="47" fillId="0" borderId="28" xfId="60" applyNumberFormat="1" applyFont="1" applyBorder="1" applyAlignment="1">
      <alignment horizontal="center" vertical="center"/>
    </xf>
    <xf numFmtId="0" fontId="47" fillId="0" borderId="13" xfId="56" applyFont="1" applyAlignment="1">
      <alignment horizontal="right" vertical="center"/>
    </xf>
    <xf numFmtId="172" fontId="46" fillId="0" borderId="0" xfId="56" applyNumberFormat="1" applyFont="1" applyFill="1" applyBorder="1" applyAlignment="1">
      <alignment horizontal="left" vertical="center"/>
    </xf>
    <xf numFmtId="164" fontId="46" fillId="0" borderId="0" xfId="0" applyNumberFormat="1" applyFont="1" applyFill="1" applyBorder="1" applyAlignment="1">
      <alignment horizontal="right" vertical="center"/>
    </xf>
    <xf numFmtId="0" fontId="1" fillId="0" borderId="0" xfId="0" applyFont="1" applyFill="1" applyBorder="1"/>
    <xf numFmtId="0" fontId="18" fillId="0" borderId="20" xfId="60" applyNumberFormat="1" applyFont="1" applyFill="1" applyBorder="1" applyAlignment="1">
      <alignment horizontal="left" vertical="center"/>
    </xf>
    <xf numFmtId="0" fontId="18" fillId="0" borderId="20" xfId="60" applyNumberFormat="1" applyFont="1" applyFill="1" applyBorder="1" applyAlignment="1">
      <alignment vertical="center"/>
    </xf>
    <xf numFmtId="164" fontId="18" fillId="0" borderId="20" xfId="60" applyFont="1" applyBorder="1" applyAlignment="1">
      <alignment horizontal="right" vertical="center"/>
    </xf>
    <xf numFmtId="0" fontId="18" fillId="0" borderId="20" xfId="60" applyNumberFormat="1" applyFont="1" applyFill="1" applyBorder="1" applyAlignment="1">
      <alignment horizontal="center" vertical="center"/>
    </xf>
    <xf numFmtId="0" fontId="18" fillId="0" borderId="20" xfId="60" applyNumberFormat="1" applyFont="1" applyFill="1" applyBorder="1" applyAlignment="1">
      <alignment horizontal="right" vertical="center"/>
    </xf>
    <xf numFmtId="164" fontId="18" fillId="0" borderId="20" xfId="60" applyFont="1" applyFill="1" applyBorder="1" applyAlignment="1">
      <alignment horizontal="right" vertical="center"/>
    </xf>
    <xf numFmtId="0" fontId="61" fillId="0" borderId="0" xfId="65" applyFont="1" applyFill="1" applyBorder="1" applyAlignment="1">
      <alignment horizontal="left" vertical="center"/>
    </xf>
    <xf numFmtId="0" fontId="46" fillId="0" borderId="0" xfId="0" applyFont="1" applyFill="1" applyBorder="1" applyAlignment="1">
      <alignment horizontal="right"/>
    </xf>
    <xf numFmtId="0" fontId="62" fillId="0" borderId="0" xfId="65" applyFont="1" applyFill="1" applyBorder="1" applyAlignment="1">
      <alignment horizontal="left" vertical="center"/>
    </xf>
    <xf numFmtId="0" fontId="47" fillId="0" borderId="0" xfId="0" applyFont="1" applyFill="1" applyBorder="1" applyAlignment="1">
      <alignment horizontal="right"/>
    </xf>
    <xf numFmtId="0" fontId="1" fillId="0" borderId="0" xfId="0" applyFont="1" applyBorder="1" applyAlignment="1">
      <alignment horizontal="right"/>
    </xf>
    <xf numFmtId="0" fontId="42" fillId="0" borderId="28" xfId="65" applyFont="1" applyBorder="1" applyAlignment="1">
      <alignment vertical="center"/>
    </xf>
    <xf numFmtId="0" fontId="61" fillId="0" borderId="13" xfId="65" applyFont="1" applyBorder="1" applyAlignment="1">
      <alignment vertical="center"/>
    </xf>
    <xf numFmtId="0" fontId="44" fillId="0" borderId="0" xfId="65"/>
    <xf numFmtId="0" fontId="39" fillId="0" borderId="28" xfId="56" applyFont="1" applyBorder="1" applyAlignment="1">
      <alignment horizontal="left" vertical="center"/>
    </xf>
    <xf numFmtId="171" fontId="47" fillId="0" borderId="13" xfId="56" applyNumberFormat="1" applyFont="1" applyAlignment="1">
      <alignment vertical="center"/>
    </xf>
    <xf numFmtId="0" fontId="63" fillId="0" borderId="23" xfId="71" applyFont="1" applyBorder="1" applyAlignment="1">
      <alignment horizontal="right" vertical="center"/>
    </xf>
    <xf numFmtId="0" fontId="50" fillId="0" borderId="18" xfId="71" applyFont="1" applyBorder="1" applyAlignment="1">
      <alignment horizontal="right" vertical="center"/>
    </xf>
    <xf numFmtId="0" fontId="36" fillId="0" borderId="0" xfId="0" applyFont="1" applyFill="1" applyBorder="1" applyAlignment="1">
      <alignment vertical="center"/>
    </xf>
    <xf numFmtId="0" fontId="49" fillId="0" borderId="28" xfId="65" applyNumberFormat="1" applyFont="1" applyFill="1" applyBorder="1" applyAlignment="1" applyProtection="1">
      <alignment vertical="center"/>
      <protection hidden="1"/>
    </xf>
    <xf numFmtId="0" fontId="47" fillId="0" borderId="28" xfId="60" applyNumberFormat="1" applyFont="1" applyFill="1" applyBorder="1" applyAlignment="1" applyProtection="1">
      <alignment horizontal="right" vertical="center"/>
      <protection hidden="1"/>
    </xf>
    <xf numFmtId="164" fontId="47" fillId="0" borderId="28" xfId="60" applyNumberFormat="1" applyFont="1" applyBorder="1"/>
    <xf numFmtId="0" fontId="47" fillId="0" borderId="28" xfId="0" applyFont="1" applyBorder="1"/>
    <xf numFmtId="166" fontId="54" fillId="0" borderId="14" xfId="58" applyNumberFormat="1" applyFont="1" applyBorder="1" applyAlignment="1">
      <alignment horizontal="right"/>
    </xf>
    <xf numFmtId="0" fontId="36" fillId="0" borderId="0" xfId="0" applyFont="1"/>
    <xf numFmtId="172" fontId="46" fillId="0" borderId="13" xfId="56" applyNumberFormat="1" applyFont="1" applyFill="1" applyBorder="1" applyAlignment="1">
      <alignment horizontal="left" vertical="center"/>
    </xf>
    <xf numFmtId="0" fontId="30" fillId="0" borderId="13" xfId="56" applyNumberFormat="1" applyFont="1" applyFill="1" applyBorder="1" applyAlignment="1">
      <alignment horizontal="right" vertical="center"/>
    </xf>
    <xf numFmtId="164" fontId="30" fillId="0" borderId="13" xfId="56" applyNumberFormat="1" applyFont="1" applyFill="1" applyBorder="1" applyAlignment="1">
      <alignment horizontal="right" vertical="center"/>
    </xf>
    <xf numFmtId="164" fontId="46" fillId="0" borderId="13" xfId="0" applyNumberFormat="1" applyFont="1" applyFill="1" applyBorder="1" applyAlignment="1">
      <alignment horizontal="right" vertical="center"/>
    </xf>
    <xf numFmtId="164" fontId="1" fillId="0" borderId="13" xfId="0" applyNumberFormat="1" applyFont="1" applyFill="1" applyBorder="1" applyAlignment="1">
      <alignment horizontal="right" vertical="center"/>
    </xf>
    <xf numFmtId="9" fontId="47" fillId="0" borderId="20" xfId="63" applyFont="1" applyFill="1" applyBorder="1" applyAlignment="1">
      <alignment horizontal="right" vertical="center"/>
    </xf>
    <xf numFmtId="0" fontId="41" fillId="0" borderId="13" xfId="49" applyFont="1" applyAlignment="1">
      <alignment horizontal="left" vertical="center"/>
    </xf>
    <xf numFmtId="0" fontId="1" fillId="0" borderId="0" xfId="70"/>
    <xf numFmtId="0" fontId="1" fillId="0" borderId="0" xfId="70" applyAlignment="1">
      <alignment horizontal="left"/>
    </xf>
    <xf numFmtId="0" fontId="1" fillId="0" borderId="0" xfId="70" applyFont="1" applyFill="1" applyBorder="1" applyAlignment="1">
      <alignment horizontal="left"/>
    </xf>
    <xf numFmtId="176" fontId="1" fillId="0" borderId="0" xfId="70" applyNumberFormat="1" applyFont="1" applyFill="1" applyBorder="1" applyAlignment="1">
      <alignment horizontal="left"/>
    </xf>
    <xf numFmtId="0" fontId="1" fillId="32" borderId="37" xfId="70" applyFont="1" applyFill="1" applyBorder="1" applyAlignment="1">
      <alignment horizontal="left"/>
    </xf>
    <xf numFmtId="0" fontId="64" fillId="32" borderId="38" xfId="70" applyFont="1" applyFill="1" applyBorder="1" applyAlignment="1">
      <alignment horizontal="left"/>
    </xf>
    <xf numFmtId="0" fontId="65" fillId="32" borderId="38" xfId="70" applyFont="1" applyFill="1" applyBorder="1" applyAlignment="1">
      <alignment horizontal="left"/>
    </xf>
    <xf numFmtId="0" fontId="66" fillId="32" borderId="38" xfId="70" applyFont="1" applyFill="1" applyBorder="1" applyAlignment="1">
      <alignment horizontal="left"/>
    </xf>
    <xf numFmtId="0" fontId="67" fillId="32" borderId="38" xfId="70" applyFont="1" applyFill="1" applyBorder="1" applyAlignment="1">
      <alignment horizontal="left"/>
    </xf>
    <xf numFmtId="0" fontId="1" fillId="32" borderId="38" xfId="70" applyFont="1" applyFill="1" applyBorder="1" applyAlignment="1">
      <alignment horizontal="left"/>
    </xf>
    <xf numFmtId="0" fontId="68" fillId="32" borderId="38" xfId="70" applyFont="1" applyFill="1" applyBorder="1" applyAlignment="1">
      <alignment horizontal="left"/>
    </xf>
    <xf numFmtId="0" fontId="46" fillId="0" borderId="13" xfId="54" applyBorder="1" applyAlignment="1">
      <alignment horizontal="left"/>
    </xf>
    <xf numFmtId="0" fontId="46" fillId="0" borderId="13" xfId="54" applyBorder="1" applyAlignment="1">
      <alignment horizontal="right"/>
    </xf>
    <xf numFmtId="0" fontId="41" fillId="0" borderId="13" xfId="49" applyBorder="1">
      <alignment horizontal="left" vertical="center"/>
    </xf>
    <xf numFmtId="0" fontId="37" fillId="0" borderId="0" xfId="70" applyFont="1" applyFill="1" applyBorder="1" applyAlignment="1">
      <alignment horizontal="left"/>
    </xf>
    <xf numFmtId="0" fontId="18" fillId="25" borderId="0" xfId="73" applyAlignment="1">
      <alignment horizontal="left" vertical="center"/>
      <protection locked="0"/>
    </xf>
    <xf numFmtId="0" fontId="1" fillId="0" borderId="0" xfId="70" applyFont="1" applyFill="1" applyBorder="1" applyAlignment="1">
      <alignment horizontal="left" wrapText="1"/>
    </xf>
    <xf numFmtId="0" fontId="39" fillId="0" borderId="13" xfId="56">
      <alignment horizontal="left" vertical="center"/>
    </xf>
    <xf numFmtId="0" fontId="64" fillId="32" borderId="39" xfId="70" applyFont="1" applyFill="1" applyBorder="1" applyAlignment="1">
      <alignment horizontal="left"/>
    </xf>
    <xf numFmtId="0" fontId="71" fillId="0" borderId="28" xfId="56" applyFont="1" applyBorder="1" applyAlignment="1">
      <alignment horizontal="center" vertical="center"/>
    </xf>
    <xf numFmtId="0" fontId="1" fillId="0" borderId="26" xfId="71" applyBorder="1" applyAlignment="1">
      <alignment horizontal="center" vertical="center"/>
    </xf>
    <xf numFmtId="0" fontId="1" fillId="0" borderId="16" xfId="71" applyBorder="1" applyAlignment="1">
      <alignment horizontal="center" vertical="center"/>
    </xf>
    <xf numFmtId="0" fontId="1" fillId="0" borderId="16" xfId="71" applyBorder="1" applyAlignment="1">
      <alignment horizontal="center" vertical="center" wrapText="1"/>
    </xf>
    <xf numFmtId="0" fontId="1" fillId="0" borderId="19" xfId="71" applyBorder="1" applyAlignment="1">
      <alignment vertical="center"/>
    </xf>
    <xf numFmtId="0" fontId="1" fillId="0" borderId="16" xfId="71" applyBorder="1" applyAlignment="1">
      <alignment horizontal="right" vertical="center"/>
    </xf>
    <xf numFmtId="3" fontId="1" fillId="19" borderId="19" xfId="71" applyNumberFormat="1" applyFill="1" applyBorder="1" applyAlignment="1">
      <alignment horizontal="right" vertical="center" wrapText="1"/>
    </xf>
    <xf numFmtId="0" fontId="1" fillId="19" borderId="20" xfId="71" applyFill="1" applyBorder="1" applyAlignment="1">
      <alignment horizontal="right" vertical="center" wrapText="1"/>
    </xf>
    <xf numFmtId="0" fontId="1" fillId="19" borderId="0" xfId="71" applyFill="1" applyAlignment="1">
      <alignment horizontal="right" vertical="center" wrapText="1"/>
    </xf>
    <xf numFmtId="3" fontId="18" fillId="0" borderId="20" xfId="71" applyNumberFormat="1" applyFont="1" applyBorder="1" applyAlignment="1">
      <alignment horizontal="right" vertical="center" wrapText="1"/>
    </xf>
    <xf numFmtId="0" fontId="18" fillId="0" borderId="0" xfId="71" applyFont="1" applyAlignment="1">
      <alignment horizontal="right" vertical="center" wrapText="1"/>
    </xf>
    <xf numFmtId="0" fontId="18" fillId="31" borderId="0" xfId="71" applyFont="1" applyFill="1" applyAlignment="1">
      <alignment horizontal="right" vertical="center" wrapText="1"/>
    </xf>
    <xf numFmtId="4" fontId="18" fillId="0" borderId="20" xfId="71" applyNumberFormat="1" applyFont="1" applyBorder="1" applyAlignment="1">
      <alignment horizontal="right" vertical="center" wrapText="1"/>
    </xf>
    <xf numFmtId="177" fontId="18" fillId="0" borderId="20" xfId="71" applyNumberFormat="1" applyFont="1" applyBorder="1" applyAlignment="1">
      <alignment horizontal="right" vertical="center" wrapText="1"/>
    </xf>
    <xf numFmtId="2" fontId="1" fillId="19" borderId="22" xfId="71" applyNumberFormat="1" applyFill="1" applyBorder="1" applyAlignment="1">
      <alignment horizontal="right" vertical="center" wrapText="1"/>
    </xf>
    <xf numFmtId="0" fontId="18" fillId="0" borderId="20" xfId="71" applyFont="1" applyBorder="1" applyAlignment="1">
      <alignment horizontal="right" vertical="center" wrapText="1"/>
    </xf>
    <xf numFmtId="0" fontId="18" fillId="0" borderId="25" xfId="71" applyFont="1" applyBorder="1" applyAlignment="1">
      <alignment horizontal="right" vertical="center" wrapText="1"/>
    </xf>
    <xf numFmtId="0" fontId="1" fillId="0" borderId="16" xfId="71" applyBorder="1" applyAlignment="1">
      <alignment vertical="center"/>
    </xf>
    <xf numFmtId="0" fontId="1" fillId="0" borderId="22" xfId="71" applyBorder="1" applyAlignment="1">
      <alignment vertical="center"/>
    </xf>
    <xf numFmtId="0" fontId="1" fillId="0" borderId="18" xfId="71" applyBorder="1" applyAlignment="1">
      <alignment horizontal="right" vertical="center"/>
    </xf>
    <xf numFmtId="3" fontId="1" fillId="19" borderId="22" xfId="71" applyNumberFormat="1" applyFill="1" applyBorder="1" applyAlignment="1">
      <alignment horizontal="right" vertical="center" wrapText="1"/>
    </xf>
    <xf numFmtId="3" fontId="18" fillId="0" borderId="0" xfId="71" applyNumberFormat="1" applyFont="1" applyAlignment="1">
      <alignment horizontal="right" vertical="center" wrapText="1"/>
    </xf>
    <xf numFmtId="4" fontId="18" fillId="0" borderId="0" xfId="71" applyNumberFormat="1" applyFont="1" applyAlignment="1">
      <alignment horizontal="right" vertical="center" wrapText="1"/>
    </xf>
    <xf numFmtId="177" fontId="18" fillId="0" borderId="0" xfId="71" applyNumberFormat="1" applyFont="1" applyAlignment="1">
      <alignment horizontal="right" vertical="center" wrapText="1"/>
    </xf>
    <xf numFmtId="0" fontId="18" fillId="0" borderId="23" xfId="71" applyFont="1" applyBorder="1" applyAlignment="1">
      <alignment horizontal="right" vertical="center" wrapText="1"/>
    </xf>
    <xf numFmtId="0" fontId="1" fillId="0" borderId="18" xfId="71" applyBorder="1" applyAlignment="1">
      <alignment vertical="center"/>
    </xf>
    <xf numFmtId="0" fontId="1" fillId="0" borderId="21" xfId="71" applyBorder="1" applyAlignment="1">
      <alignment vertical="center"/>
    </xf>
    <xf numFmtId="0" fontId="1" fillId="0" borderId="17" xfId="71" applyBorder="1" applyAlignment="1">
      <alignment horizontal="right" vertical="center"/>
    </xf>
    <xf numFmtId="3" fontId="1" fillId="19" borderId="21" xfId="71" applyNumberFormat="1" applyFill="1" applyBorder="1" applyAlignment="1">
      <alignment horizontal="right" vertical="center" wrapText="1"/>
    </xf>
    <xf numFmtId="0" fontId="1" fillId="19" borderId="13" xfId="71" applyFill="1" applyBorder="1" applyAlignment="1">
      <alignment horizontal="right" vertical="center" wrapText="1"/>
    </xf>
    <xf numFmtId="3" fontId="18" fillId="0" borderId="13" xfId="71" applyNumberFormat="1" applyFont="1" applyBorder="1" applyAlignment="1">
      <alignment horizontal="right" vertical="center" wrapText="1"/>
    </xf>
    <xf numFmtId="0" fontId="18" fillId="0" borderId="13" xfId="71" applyFont="1" applyBorder="1" applyAlignment="1">
      <alignment horizontal="right" vertical="center" wrapText="1"/>
    </xf>
    <xf numFmtId="0" fontId="18" fillId="31" borderId="13" xfId="71" applyFont="1" applyFill="1" applyBorder="1" applyAlignment="1">
      <alignment horizontal="right" vertical="center" wrapText="1"/>
    </xf>
    <xf numFmtId="177" fontId="18" fillId="0" borderId="13" xfId="71" applyNumberFormat="1" applyFont="1" applyBorder="1" applyAlignment="1">
      <alignment horizontal="right" vertical="center" wrapText="1"/>
    </xf>
    <xf numFmtId="4" fontId="18" fillId="0" borderId="13" xfId="71" applyNumberFormat="1" applyFont="1" applyBorder="1" applyAlignment="1">
      <alignment horizontal="right" vertical="center" wrapText="1"/>
    </xf>
    <xf numFmtId="2" fontId="1" fillId="19" borderId="21" xfId="71" applyNumberFormat="1" applyFill="1" applyBorder="1" applyAlignment="1">
      <alignment horizontal="right" vertical="center" wrapText="1"/>
    </xf>
    <xf numFmtId="0" fontId="18" fillId="0" borderId="24" xfId="71" applyFont="1" applyBorder="1" applyAlignment="1">
      <alignment horizontal="right" vertical="center" wrapText="1"/>
    </xf>
    <xf numFmtId="0" fontId="1" fillId="0" borderId="17" xfId="71" applyBorder="1" applyAlignment="1">
      <alignment vertical="center"/>
    </xf>
    <xf numFmtId="0" fontId="18" fillId="31" borderId="20" xfId="71" applyFont="1" applyFill="1" applyBorder="1" applyAlignment="1">
      <alignment horizontal="right" vertical="center" wrapText="1"/>
    </xf>
    <xf numFmtId="2" fontId="1" fillId="19" borderId="19" xfId="71" applyNumberFormat="1" applyFill="1" applyBorder="1" applyAlignment="1">
      <alignment horizontal="right" vertical="center" wrapText="1"/>
    </xf>
    <xf numFmtId="0" fontId="1" fillId="0" borderId="19" xfId="71" applyBorder="1" applyAlignment="1">
      <alignment vertical="center" wrapText="1"/>
    </xf>
    <xf numFmtId="0" fontId="1" fillId="0" borderId="16" xfId="71" applyBorder="1" applyAlignment="1">
      <alignment vertical="center" wrapText="1"/>
    </xf>
    <xf numFmtId="0" fontId="1" fillId="0" borderId="22" xfId="71" applyBorder="1" applyAlignment="1">
      <alignment vertical="center" wrapText="1"/>
    </xf>
    <xf numFmtId="0" fontId="1" fillId="0" borderId="18" xfId="71" applyBorder="1" applyAlignment="1">
      <alignment vertical="center" wrapText="1"/>
    </xf>
    <xf numFmtId="0" fontId="1" fillId="0" borderId="21" xfId="71" applyBorder="1" applyAlignment="1">
      <alignment vertical="center" wrapText="1"/>
    </xf>
    <xf numFmtId="0" fontId="1" fillId="0" borderId="17" xfId="71" applyBorder="1" applyAlignment="1">
      <alignment vertical="center" wrapText="1"/>
    </xf>
    <xf numFmtId="0" fontId="1" fillId="0" borderId="25" xfId="71" applyBorder="1" applyAlignment="1">
      <alignment horizontal="right" vertical="center"/>
    </xf>
    <xf numFmtId="0" fontId="1" fillId="0" borderId="23" xfId="71" applyBorder="1" applyAlignment="1">
      <alignment horizontal="right" vertical="center"/>
    </xf>
    <xf numFmtId="0" fontId="1" fillId="0" borderId="24" xfId="71" applyBorder="1" applyAlignment="1">
      <alignment horizontal="right" vertical="center"/>
    </xf>
    <xf numFmtId="0" fontId="18" fillId="31" borderId="24" xfId="71" applyFont="1" applyFill="1" applyBorder="1" applyAlignment="1">
      <alignment horizontal="right" vertical="center" wrapText="1"/>
    </xf>
    <xf numFmtId="3" fontId="72" fillId="36" borderId="19" xfId="71" applyNumberFormat="1" applyFont="1" applyFill="1" applyBorder="1" applyAlignment="1">
      <alignment horizontal="right" vertical="center" wrapText="1"/>
    </xf>
    <xf numFmtId="3" fontId="72" fillId="36" borderId="20" xfId="71" applyNumberFormat="1" applyFont="1" applyFill="1" applyBorder="1" applyAlignment="1">
      <alignment horizontal="right" vertical="center" wrapText="1"/>
    </xf>
    <xf numFmtId="3" fontId="72" fillId="36" borderId="23" xfId="71" applyNumberFormat="1" applyFont="1" applyFill="1" applyBorder="1" applyAlignment="1">
      <alignment horizontal="right" vertical="center" wrapText="1"/>
    </xf>
    <xf numFmtId="3" fontId="72" fillId="36" borderId="0" xfId="71" applyNumberFormat="1" applyFont="1" applyFill="1" applyAlignment="1">
      <alignment horizontal="right" vertical="center" wrapText="1"/>
    </xf>
    <xf numFmtId="0" fontId="1" fillId="0" borderId="20" xfId="71" applyBorder="1" applyAlignment="1">
      <alignment vertical="center" wrapText="1"/>
    </xf>
    <xf numFmtId="0" fontId="1" fillId="0" borderId="25" xfId="71" applyBorder="1" applyAlignment="1">
      <alignment vertical="center" wrapText="1"/>
    </xf>
    <xf numFmtId="3" fontId="72" fillId="36" borderId="22" xfId="61" applyNumberFormat="1" applyFont="1" applyFill="1" applyBorder="1" applyAlignment="1">
      <alignment horizontal="right" vertical="center"/>
    </xf>
    <xf numFmtId="3" fontId="72" fillId="36" borderId="0" xfId="61" applyNumberFormat="1" applyFont="1" applyFill="1" applyBorder="1" applyAlignment="1">
      <alignment horizontal="right" vertical="center"/>
    </xf>
    <xf numFmtId="3" fontId="72" fillId="36" borderId="23" xfId="61" applyNumberFormat="1" applyFont="1" applyFill="1" applyBorder="1" applyAlignment="1">
      <alignment horizontal="right" vertical="center"/>
    </xf>
    <xf numFmtId="0" fontId="1" fillId="0" borderId="0" xfId="71" applyAlignment="1">
      <alignment vertical="center" wrapText="1"/>
    </xf>
    <xf numFmtId="0" fontId="1" fillId="0" borderId="23" xfId="71" applyBorder="1" applyAlignment="1">
      <alignment vertical="center" wrapText="1"/>
    </xf>
    <xf numFmtId="2" fontId="72" fillId="36" borderId="21" xfId="61" applyNumberFormat="1" applyFont="1" applyFill="1" applyBorder="1" applyAlignment="1">
      <alignment horizontal="right" vertical="center"/>
    </xf>
    <xf numFmtId="3" fontId="72" fillId="36" borderId="13" xfId="61" applyNumberFormat="1" applyFont="1" applyFill="1" applyBorder="1" applyAlignment="1">
      <alignment horizontal="right" vertical="center"/>
    </xf>
    <xf numFmtId="3" fontId="72" fillId="36" borderId="24" xfId="61" applyNumberFormat="1" applyFont="1" applyFill="1" applyBorder="1" applyAlignment="1">
      <alignment horizontal="right" vertical="center"/>
    </xf>
    <xf numFmtId="3" fontId="72" fillId="36" borderId="21" xfId="61" applyNumberFormat="1" applyFont="1" applyFill="1" applyBorder="1" applyAlignment="1">
      <alignment horizontal="right" vertical="center"/>
    </xf>
    <xf numFmtId="0" fontId="1" fillId="0" borderId="0" xfId="71" applyAlignment="1">
      <alignment horizontal="center" vertical="center" wrapText="1"/>
    </xf>
    <xf numFmtId="0" fontId="18" fillId="0" borderId="28" xfId="71" applyFont="1" applyBorder="1" applyAlignment="1">
      <alignment horizontal="center" vertical="center"/>
    </xf>
    <xf numFmtId="177" fontId="1" fillId="19" borderId="19" xfId="71" applyNumberFormat="1" applyFill="1" applyBorder="1" applyAlignment="1">
      <alignment horizontal="right" vertical="center" wrapText="1"/>
    </xf>
    <xf numFmtId="0" fontId="18" fillId="31" borderId="25" xfId="71" applyFont="1" applyFill="1" applyBorder="1" applyAlignment="1">
      <alignment horizontal="right" vertical="center" wrapText="1"/>
    </xf>
    <xf numFmtId="2" fontId="18" fillId="0" borderId="20" xfId="71" applyNumberFormat="1" applyFont="1" applyBorder="1" applyAlignment="1">
      <alignment horizontal="right" vertical="center" wrapText="1"/>
    </xf>
    <xf numFmtId="1" fontId="18" fillId="0" borderId="25" xfId="71" applyNumberFormat="1" applyFont="1" applyBorder="1" applyAlignment="1">
      <alignment horizontal="right" vertical="center" wrapText="1"/>
    </xf>
    <xf numFmtId="0" fontId="1" fillId="0" borderId="18" xfId="71" applyBorder="1" applyAlignment="1">
      <alignment horizontal="center" vertical="center"/>
    </xf>
    <xf numFmtId="177" fontId="1" fillId="19" borderId="22" xfId="71" applyNumberFormat="1" applyFill="1" applyBorder="1" applyAlignment="1">
      <alignment horizontal="right" vertical="center" wrapText="1"/>
    </xf>
    <xf numFmtId="0" fontId="18" fillId="31" borderId="23" xfId="71" applyFont="1" applyFill="1" applyBorder="1" applyAlignment="1">
      <alignment horizontal="right" vertical="center" wrapText="1"/>
    </xf>
    <xf numFmtId="2" fontId="18" fillId="0" borderId="0" xfId="71" applyNumberFormat="1" applyFont="1" applyAlignment="1">
      <alignment horizontal="right" vertical="center" wrapText="1"/>
    </xf>
    <xf numFmtId="1" fontId="18" fillId="0" borderId="23" xfId="71" applyNumberFormat="1" applyFont="1" applyBorder="1" applyAlignment="1">
      <alignment horizontal="right" vertical="center" wrapText="1"/>
    </xf>
    <xf numFmtId="0" fontId="1" fillId="0" borderId="17" xfId="71" applyBorder="1" applyAlignment="1">
      <alignment horizontal="center" vertical="center"/>
    </xf>
    <xf numFmtId="177" fontId="1" fillId="19" borderId="21" xfId="71" applyNumberFormat="1" applyFill="1" applyBorder="1" applyAlignment="1">
      <alignment horizontal="right" vertical="center" wrapText="1"/>
    </xf>
    <xf numFmtId="2" fontId="18" fillId="0" borderId="13" xfId="71" applyNumberFormat="1" applyFont="1" applyBorder="1" applyAlignment="1">
      <alignment horizontal="right" vertical="center" wrapText="1"/>
    </xf>
    <xf numFmtId="1" fontId="18" fillId="0" borderId="24" xfId="71" applyNumberFormat="1" applyFont="1" applyBorder="1" applyAlignment="1">
      <alignment horizontal="right" vertical="center" wrapText="1"/>
    </xf>
    <xf numFmtId="0" fontId="1" fillId="0" borderId="25" xfId="71" applyBorder="1" applyAlignment="1">
      <alignment horizontal="center" vertical="center"/>
    </xf>
    <xf numFmtId="0" fontId="1" fillId="0" borderId="23" xfId="71" applyBorder="1" applyAlignment="1">
      <alignment horizontal="center" vertical="center"/>
    </xf>
    <xf numFmtId="0" fontId="1" fillId="0" borderId="24" xfId="71" applyBorder="1" applyAlignment="1">
      <alignment horizontal="center" vertical="center"/>
    </xf>
    <xf numFmtId="0" fontId="1" fillId="0" borderId="26" xfId="71" applyBorder="1" applyAlignment="1">
      <alignment horizontal="center" vertical="center" wrapText="1"/>
    </xf>
    <xf numFmtId="4" fontId="1" fillId="19" borderId="19" xfId="71" applyNumberFormat="1" applyFill="1" applyBorder="1" applyAlignment="1">
      <alignment horizontal="right" vertical="center" wrapText="1"/>
    </xf>
    <xf numFmtId="4" fontId="1" fillId="19" borderId="20" xfId="71" applyNumberFormat="1" applyFill="1" applyBorder="1" applyAlignment="1">
      <alignment horizontal="right" vertical="center" wrapText="1"/>
    </xf>
    <xf numFmtId="0" fontId="18" fillId="19" borderId="20" xfId="71" applyFont="1" applyFill="1" applyBorder="1" applyAlignment="1">
      <alignment horizontal="right" vertical="center" wrapText="1"/>
    </xf>
    <xf numFmtId="4" fontId="1" fillId="19" borderId="22" xfId="71" applyNumberFormat="1" applyFill="1" applyBorder="1" applyAlignment="1">
      <alignment horizontal="right" vertical="center" wrapText="1"/>
    </xf>
    <xf numFmtId="4" fontId="1" fillId="19" borderId="0" xfId="71" applyNumberFormat="1" applyFill="1" applyAlignment="1">
      <alignment horizontal="right" vertical="center" wrapText="1"/>
    </xf>
    <xf numFmtId="0" fontId="18" fillId="19" borderId="0" xfId="71" applyFont="1" applyFill="1" applyAlignment="1">
      <alignment horizontal="right" vertical="center" wrapText="1"/>
    </xf>
    <xf numFmtId="4" fontId="1" fillId="19" borderId="21" xfId="71" applyNumberFormat="1" applyFill="1" applyBorder="1" applyAlignment="1">
      <alignment horizontal="right" vertical="center" wrapText="1"/>
    </xf>
    <xf numFmtId="4" fontId="1" fillId="19" borderId="13" xfId="71" applyNumberFormat="1" applyFill="1" applyBorder="1" applyAlignment="1">
      <alignment horizontal="right" vertical="center" wrapText="1"/>
    </xf>
    <xf numFmtId="0" fontId="18" fillId="19" borderId="13" xfId="71" applyFont="1" applyFill="1" applyBorder="1" applyAlignment="1">
      <alignment horizontal="right" vertical="center" wrapText="1"/>
    </xf>
    <xf numFmtId="3" fontId="72" fillId="36" borderId="22" xfId="71" applyNumberFormat="1" applyFont="1" applyFill="1" applyBorder="1" applyAlignment="1">
      <alignment horizontal="right" vertical="center" wrapText="1"/>
    </xf>
    <xf numFmtId="3" fontId="72" fillId="36" borderId="25" xfId="71" applyNumberFormat="1" applyFont="1" applyFill="1" applyBorder="1" applyAlignment="1">
      <alignment horizontal="right" vertical="center" wrapText="1"/>
    </xf>
    <xf numFmtId="0" fontId="73" fillId="0" borderId="22" xfId="71" applyFont="1" applyBorder="1" applyAlignment="1">
      <alignment horizontal="right" vertical="center" wrapText="1"/>
    </xf>
    <xf numFmtId="0" fontId="73" fillId="0" borderId="0" xfId="71" applyFont="1" applyAlignment="1">
      <alignment horizontal="right" vertical="center" wrapText="1"/>
    </xf>
    <xf numFmtId="0" fontId="73" fillId="31" borderId="0" xfId="71" applyFont="1" applyFill="1" applyAlignment="1">
      <alignment horizontal="right" vertical="center" wrapText="1"/>
    </xf>
    <xf numFmtId="3" fontId="73" fillId="0" borderId="22" xfId="61" applyNumberFormat="1" applyFont="1" applyFill="1" applyBorder="1" applyAlignment="1">
      <alignment horizontal="right" vertical="center"/>
    </xf>
    <xf numFmtId="3" fontId="73" fillId="0" borderId="0" xfId="61" applyNumberFormat="1" applyFont="1" applyFill="1" applyBorder="1" applyAlignment="1">
      <alignment horizontal="right" vertical="center"/>
    </xf>
    <xf numFmtId="3" fontId="73" fillId="31" borderId="0" xfId="61" applyNumberFormat="1" applyFont="1" applyFill="1" applyBorder="1" applyAlignment="1">
      <alignment horizontal="right" vertical="center"/>
    </xf>
    <xf numFmtId="3" fontId="73" fillId="0" borderId="21" xfId="61" applyNumberFormat="1" applyFont="1" applyFill="1" applyBorder="1" applyAlignment="1">
      <alignment horizontal="right" vertical="center"/>
    </xf>
    <xf numFmtId="3" fontId="73" fillId="0" borderId="13" xfId="61" applyNumberFormat="1" applyFont="1" applyFill="1" applyBorder="1" applyAlignment="1">
      <alignment horizontal="right" vertical="center"/>
    </xf>
    <xf numFmtId="3" fontId="73" fillId="31" borderId="13" xfId="61" applyNumberFormat="1" applyFont="1" applyFill="1" applyBorder="1" applyAlignment="1">
      <alignment horizontal="right" vertical="center"/>
    </xf>
    <xf numFmtId="0" fontId="1" fillId="0" borderId="27" xfId="71" applyBorder="1" applyAlignment="1">
      <alignment horizontal="center" vertical="center" wrapText="1"/>
    </xf>
    <xf numFmtId="2" fontId="1" fillId="19" borderId="19" xfId="71" applyNumberFormat="1" applyFill="1" applyBorder="1" applyAlignment="1">
      <alignment vertical="center" wrapText="1"/>
    </xf>
    <xf numFmtId="0" fontId="1" fillId="19" borderId="20" xfId="71" applyFill="1" applyBorder="1" applyAlignment="1">
      <alignment vertical="center" wrapText="1"/>
    </xf>
    <xf numFmtId="3" fontId="1" fillId="19" borderId="20" xfId="71" applyNumberFormat="1" applyFill="1" applyBorder="1" applyAlignment="1">
      <alignment horizontal="right" vertical="center" wrapText="1"/>
    </xf>
    <xf numFmtId="2" fontId="18" fillId="0" borderId="20" xfId="71" applyNumberFormat="1" applyFont="1" applyBorder="1" applyAlignment="1">
      <alignment vertical="center" wrapText="1"/>
    </xf>
    <xf numFmtId="0" fontId="18" fillId="0" borderId="25" xfId="71" applyFont="1" applyBorder="1" applyAlignment="1">
      <alignment vertical="center" wrapText="1"/>
    </xf>
    <xf numFmtId="0" fontId="18" fillId="0" borderId="20" xfId="71" applyFont="1" applyBorder="1" applyAlignment="1">
      <alignment vertical="center" wrapText="1"/>
    </xf>
    <xf numFmtId="2" fontId="1" fillId="19" borderId="22" xfId="71" applyNumberFormat="1" applyFill="1" applyBorder="1" applyAlignment="1">
      <alignment vertical="center" wrapText="1"/>
    </xf>
    <xf numFmtId="0" fontId="1" fillId="19" borderId="0" xfId="71" applyFill="1" applyAlignment="1">
      <alignment vertical="center" wrapText="1"/>
    </xf>
    <xf numFmtId="3" fontId="1" fillId="19" borderId="0" xfId="71" applyNumberFormat="1" applyFill="1" applyAlignment="1">
      <alignment horizontal="right" vertical="center" wrapText="1"/>
    </xf>
    <xf numFmtId="2" fontId="18" fillId="0" borderId="0" xfId="71" applyNumberFormat="1" applyFont="1" applyAlignment="1">
      <alignment vertical="center" wrapText="1"/>
    </xf>
    <xf numFmtId="0" fontId="18" fillId="0" borderId="23" xfId="71" applyFont="1" applyBorder="1" applyAlignment="1">
      <alignment vertical="center" wrapText="1"/>
    </xf>
    <xf numFmtId="0" fontId="18" fillId="0" borderId="0" xfId="71" applyFont="1" applyAlignment="1">
      <alignment vertical="center" wrapText="1"/>
    </xf>
    <xf numFmtId="2" fontId="1" fillId="19" borderId="21" xfId="71" applyNumberFormat="1" applyFill="1" applyBorder="1" applyAlignment="1">
      <alignment vertical="center" wrapText="1"/>
    </xf>
    <xf numFmtId="0" fontId="1" fillId="19" borderId="13" xfId="71" applyFill="1" applyBorder="1" applyAlignment="1">
      <alignment vertical="center" wrapText="1"/>
    </xf>
    <xf numFmtId="3" fontId="1" fillId="19" borderId="13" xfId="71" applyNumberFormat="1" applyFill="1" applyBorder="1" applyAlignment="1">
      <alignment horizontal="right" vertical="center" wrapText="1"/>
    </xf>
    <xf numFmtId="2" fontId="18" fillId="0" borderId="13" xfId="71" applyNumberFormat="1" applyFont="1" applyBorder="1" applyAlignment="1">
      <alignment vertical="center" wrapText="1"/>
    </xf>
    <xf numFmtId="0" fontId="18" fillId="0" borderId="24" xfId="71" applyFont="1" applyBorder="1" applyAlignment="1">
      <alignment vertical="center" wrapText="1"/>
    </xf>
    <xf numFmtId="0" fontId="18" fillId="0" borderId="13" xfId="71" applyFont="1" applyBorder="1" applyAlignment="1">
      <alignment vertical="center" wrapText="1"/>
    </xf>
    <xf numFmtId="4" fontId="1" fillId="0" borderId="19" xfId="71" applyNumberFormat="1" applyBorder="1" applyAlignment="1">
      <alignment horizontal="right" vertical="center" wrapText="1"/>
    </xf>
    <xf numFmtId="0" fontId="1" fillId="0" borderId="20" xfId="71" applyBorder="1" applyAlignment="1">
      <alignment horizontal="right" vertical="center" wrapText="1"/>
    </xf>
    <xf numFmtId="2" fontId="1" fillId="0" borderId="19" xfId="71" applyNumberFormat="1" applyBorder="1" applyAlignment="1">
      <alignment vertical="center" wrapText="1"/>
    </xf>
    <xf numFmtId="3" fontId="1" fillId="0" borderId="19" xfId="71" applyNumberFormat="1" applyBorder="1" applyAlignment="1">
      <alignment horizontal="right" vertical="center" wrapText="1"/>
    </xf>
    <xf numFmtId="3" fontId="1" fillId="0" borderId="20" xfId="71" applyNumberFormat="1" applyBorder="1" applyAlignment="1">
      <alignment horizontal="right" vertical="center" wrapText="1"/>
    </xf>
    <xf numFmtId="2" fontId="1" fillId="0" borderId="19" xfId="71" applyNumberFormat="1" applyBorder="1" applyAlignment="1">
      <alignment horizontal="right" vertical="center" wrapText="1"/>
    </xf>
    <xf numFmtId="2" fontId="1" fillId="19" borderId="0" xfId="71" applyNumberFormat="1" applyFill="1" applyAlignment="1">
      <alignment horizontal="right" vertical="center" wrapText="1"/>
    </xf>
    <xf numFmtId="0" fontId="1" fillId="0" borderId="13" xfId="71" applyBorder="1" applyAlignment="1">
      <alignment vertical="center" wrapText="1"/>
    </xf>
    <xf numFmtId="0" fontId="1" fillId="0" borderId="24" xfId="71" applyBorder="1" applyAlignment="1">
      <alignment vertical="center" wrapText="1"/>
    </xf>
    <xf numFmtId="0" fontId="75" fillId="0" borderId="28" xfId="56" applyFont="1" applyBorder="1" applyAlignment="1">
      <alignment horizontal="center" vertical="center"/>
    </xf>
    <xf numFmtId="0" fontId="72" fillId="36" borderId="20" xfId="71" applyFont="1" applyFill="1" applyBorder="1" applyAlignment="1">
      <alignment horizontal="right" vertical="center" wrapText="1"/>
    </xf>
    <xf numFmtId="9" fontId="0" fillId="0" borderId="0" xfId="63" applyFont="1"/>
    <xf numFmtId="0" fontId="1" fillId="0" borderId="16" xfId="0" applyFont="1" applyBorder="1" applyAlignment="1">
      <alignment horizontal="center"/>
    </xf>
    <xf numFmtId="0" fontId="1" fillId="0" borderId="17" xfId="0" applyFont="1" applyBorder="1" applyAlignment="1">
      <alignment horizontal="center"/>
    </xf>
    <xf numFmtId="0" fontId="1" fillId="0" borderId="18" xfId="0" applyFont="1" applyBorder="1"/>
    <xf numFmtId="164" fontId="1" fillId="0" borderId="22" xfId="60" applyFont="1" applyBorder="1"/>
    <xf numFmtId="0" fontId="1" fillId="0" borderId="22" xfId="0" applyFont="1" applyBorder="1"/>
    <xf numFmtId="0" fontId="18" fillId="0" borderId="23" xfId="0" applyFont="1" applyBorder="1"/>
    <xf numFmtId="164" fontId="18" fillId="0" borderId="23" xfId="60" applyFont="1" applyBorder="1"/>
    <xf numFmtId="2" fontId="1" fillId="0" borderId="22" xfId="0" applyNumberFormat="1" applyFont="1" applyBorder="1"/>
    <xf numFmtId="2" fontId="18" fillId="0" borderId="23" xfId="0" applyNumberFormat="1" applyFont="1" applyBorder="1"/>
    <xf numFmtId="0" fontId="1" fillId="0" borderId="17" xfId="0" applyFont="1" applyBorder="1"/>
    <xf numFmtId="0" fontId="18" fillId="0" borderId="24" xfId="0" applyFont="1" applyBorder="1"/>
    <xf numFmtId="164" fontId="1" fillId="0" borderId="21" xfId="60" applyFont="1" applyBorder="1"/>
    <xf numFmtId="0" fontId="1" fillId="0" borderId="21" xfId="0" applyFont="1" applyBorder="1"/>
    <xf numFmtId="0" fontId="1" fillId="0" borderId="0" xfId="0" applyFont="1" applyAlignment="1">
      <alignment vertical="center"/>
    </xf>
    <xf numFmtId="4" fontId="18" fillId="0" borderId="20" xfId="71" applyNumberFormat="1" applyFont="1" applyBorder="1" applyAlignment="1">
      <alignment vertical="center" wrapText="1"/>
    </xf>
    <xf numFmtId="4" fontId="18" fillId="0" borderId="25" xfId="71" applyNumberFormat="1" applyFont="1" applyBorder="1" applyAlignment="1">
      <alignment vertical="center" wrapText="1"/>
    </xf>
    <xf numFmtId="178" fontId="1" fillId="0" borderId="25" xfId="0" applyNumberFormat="1" applyFont="1" applyBorder="1" applyAlignment="1">
      <alignment vertical="center"/>
    </xf>
    <xf numFmtId="4" fontId="18" fillId="0" borderId="0" xfId="71" applyNumberFormat="1" applyFont="1" applyAlignment="1">
      <alignment vertical="center" wrapText="1"/>
    </xf>
    <xf numFmtId="4" fontId="18" fillId="0" borderId="23" xfId="71" applyNumberFormat="1" applyFont="1" applyBorder="1" applyAlignment="1">
      <alignment vertical="center" wrapText="1"/>
    </xf>
    <xf numFmtId="178" fontId="1" fillId="0" borderId="23" xfId="0" applyNumberFormat="1" applyFont="1" applyBorder="1" applyAlignment="1">
      <alignment vertical="center"/>
    </xf>
    <xf numFmtId="4" fontId="18" fillId="0" borderId="13" xfId="71" applyNumberFormat="1" applyFont="1" applyBorder="1" applyAlignment="1">
      <alignment vertical="center" wrapText="1"/>
    </xf>
    <xf numFmtId="4" fontId="18" fillId="0" borderId="24" xfId="71" applyNumberFormat="1" applyFont="1" applyBorder="1" applyAlignment="1">
      <alignment vertical="center" wrapText="1"/>
    </xf>
    <xf numFmtId="0" fontId="1" fillId="0" borderId="19" xfId="0" applyFont="1" applyBorder="1" applyAlignment="1">
      <alignment vertical="center"/>
    </xf>
    <xf numFmtId="0" fontId="1" fillId="0" borderId="20" xfId="0" applyFont="1" applyBorder="1" applyAlignment="1">
      <alignment vertical="center"/>
    </xf>
    <xf numFmtId="0" fontId="1" fillId="0" borderId="22" xfId="0" applyFont="1" applyBorder="1" applyAlignment="1">
      <alignment vertical="center"/>
    </xf>
    <xf numFmtId="0" fontId="1" fillId="0" borderId="21" xfId="0" applyFont="1" applyBorder="1" applyAlignment="1">
      <alignment vertical="center"/>
    </xf>
    <xf numFmtId="0" fontId="1" fillId="0" borderId="13" xfId="0" applyFont="1" applyBorder="1" applyAlignment="1">
      <alignment vertical="center"/>
    </xf>
    <xf numFmtId="0" fontId="1" fillId="0" borderId="26" xfId="0" applyFont="1" applyBorder="1" applyAlignment="1">
      <alignment horizontal="center" vertical="center"/>
    </xf>
    <xf numFmtId="3" fontId="1" fillId="0" borderId="26" xfId="0" applyNumberFormat="1" applyFont="1" applyBorder="1" applyAlignment="1">
      <alignment vertical="center"/>
    </xf>
    <xf numFmtId="3" fontId="55" fillId="0" borderId="26" xfId="0" applyNumberFormat="1" applyFont="1" applyBorder="1" applyAlignment="1">
      <alignment vertical="center"/>
    </xf>
    <xf numFmtId="3" fontId="1" fillId="0" borderId="0" xfId="0" applyNumberFormat="1" applyFont="1" applyAlignment="1">
      <alignment vertical="center"/>
    </xf>
    <xf numFmtId="179" fontId="1" fillId="0" borderId="21" xfId="0" applyNumberFormat="1" applyFont="1" applyBorder="1" applyAlignment="1">
      <alignment vertical="center"/>
    </xf>
    <xf numFmtId="179" fontId="1" fillId="0" borderId="22" xfId="0" applyNumberFormat="1" applyFont="1" applyBorder="1" applyAlignment="1">
      <alignment vertical="center"/>
    </xf>
    <xf numFmtId="179" fontId="1" fillId="0" borderId="26" xfId="0" applyNumberFormat="1" applyFont="1" applyBorder="1" applyAlignment="1">
      <alignment vertical="center"/>
    </xf>
    <xf numFmtId="179" fontId="1" fillId="0" borderId="0" xfId="0" applyNumberFormat="1" applyFont="1" applyAlignment="1">
      <alignment vertical="center"/>
    </xf>
    <xf numFmtId="3" fontId="1" fillId="0" borderId="22" xfId="0" applyNumberFormat="1" applyFont="1" applyBorder="1" applyAlignment="1">
      <alignment vertical="center"/>
    </xf>
    <xf numFmtId="179" fontId="55" fillId="0" borderId="26" xfId="0" applyNumberFormat="1" applyFont="1" applyBorder="1" applyAlignment="1">
      <alignment vertical="center"/>
    </xf>
    <xf numFmtId="179" fontId="1" fillId="0" borderId="25" xfId="0" applyNumberFormat="1" applyFont="1" applyBorder="1" applyAlignment="1">
      <alignment vertical="center"/>
    </xf>
    <xf numFmtId="177" fontId="1" fillId="0" borderId="0" xfId="0" applyNumberFormat="1" applyFont="1" applyAlignment="1">
      <alignment vertical="center"/>
    </xf>
    <xf numFmtId="179" fontId="1" fillId="0" borderId="27" xfId="0" applyNumberFormat="1" applyFont="1" applyBorder="1" applyAlignment="1">
      <alignment vertical="center"/>
    </xf>
    <xf numFmtId="179" fontId="1" fillId="0" borderId="23" xfId="0" applyNumberFormat="1" applyFont="1" applyBorder="1" applyAlignment="1">
      <alignment vertical="center"/>
    </xf>
    <xf numFmtId="0" fontId="1" fillId="0" borderId="26" xfId="0" applyFont="1" applyBorder="1" applyAlignment="1">
      <alignment horizontal="center" vertical="center" wrapText="1"/>
    </xf>
    <xf numFmtId="3" fontId="1" fillId="0" borderId="26" xfId="0" applyNumberFormat="1" applyFont="1" applyBorder="1" applyAlignment="1">
      <alignment vertical="center" wrapText="1"/>
    </xf>
    <xf numFmtId="3" fontId="55" fillId="0" borderId="26" xfId="0" applyNumberFormat="1" applyFont="1" applyBorder="1" applyAlignment="1">
      <alignment vertical="center" wrapText="1"/>
    </xf>
    <xf numFmtId="3" fontId="1" fillId="0" borderId="0" xfId="0" applyNumberFormat="1" applyFont="1" applyAlignment="1">
      <alignment vertical="center" wrapText="1"/>
    </xf>
    <xf numFmtId="179" fontId="1" fillId="0" borderId="27" xfId="0" applyNumberFormat="1" applyFont="1" applyBorder="1" applyAlignment="1">
      <alignment vertical="center" wrapText="1"/>
    </xf>
    <xf numFmtId="179" fontId="1" fillId="0" borderId="22" xfId="0" applyNumberFormat="1" applyFont="1" applyBorder="1" applyAlignment="1">
      <alignment vertical="center" wrapText="1"/>
    </xf>
    <xf numFmtId="179" fontId="1" fillId="0" borderId="26" xfId="0" applyNumberFormat="1" applyFont="1" applyBorder="1" applyAlignment="1">
      <alignment vertical="center" wrapText="1"/>
    </xf>
    <xf numFmtId="179" fontId="1" fillId="0" borderId="0" xfId="0" applyNumberFormat="1" applyFont="1" applyAlignment="1">
      <alignment vertical="center" wrapText="1"/>
    </xf>
    <xf numFmtId="3" fontId="1" fillId="0" borderId="22" xfId="0" applyNumberFormat="1" applyFont="1" applyBorder="1" applyAlignment="1">
      <alignment vertical="center" wrapText="1"/>
    </xf>
    <xf numFmtId="179" fontId="55" fillId="0" borderId="26" xfId="0" applyNumberFormat="1" applyFont="1" applyBorder="1" applyAlignment="1">
      <alignment vertical="center" wrapText="1"/>
    </xf>
    <xf numFmtId="179" fontId="1" fillId="0" borderId="23" xfId="0" applyNumberFormat="1" applyFont="1" applyBorder="1" applyAlignment="1">
      <alignment vertical="center" wrapText="1"/>
    </xf>
    <xf numFmtId="0" fontId="1" fillId="0" borderId="0" xfId="0" applyFont="1" applyAlignment="1">
      <alignment vertical="center" wrapText="1"/>
    </xf>
    <xf numFmtId="3" fontId="1" fillId="0" borderId="13" xfId="0" applyNumberFormat="1" applyFont="1" applyBorder="1" applyAlignment="1">
      <alignment vertical="center"/>
    </xf>
    <xf numFmtId="179" fontId="1" fillId="0" borderId="13" xfId="0" applyNumberFormat="1" applyFont="1" applyBorder="1" applyAlignment="1">
      <alignment vertical="center"/>
    </xf>
    <xf numFmtId="3" fontId="1" fillId="0" borderId="21" xfId="0" applyNumberFormat="1" applyFont="1" applyBorder="1" applyAlignment="1">
      <alignment vertical="center"/>
    </xf>
    <xf numFmtId="179" fontId="1" fillId="0" borderId="24" xfId="0" applyNumberFormat="1" applyFont="1" applyBorder="1" applyAlignment="1">
      <alignment vertical="center"/>
    </xf>
    <xf numFmtId="0" fontId="1" fillId="0" borderId="0" xfId="0" applyFont="1" applyAlignment="1">
      <alignment horizontal="center" vertical="center" wrapText="1"/>
    </xf>
    <xf numFmtId="0" fontId="1" fillId="0" borderId="0" xfId="0" applyFont="1" applyAlignment="1">
      <alignment horizontal="center" vertical="center"/>
    </xf>
    <xf numFmtId="3" fontId="55" fillId="0" borderId="0" xfId="0" applyNumberFormat="1" applyFont="1" applyAlignment="1">
      <alignment vertical="center"/>
    </xf>
    <xf numFmtId="179" fontId="55" fillId="0" borderId="0" xfId="0" applyNumberFormat="1" applyFont="1" applyAlignment="1">
      <alignment vertical="center"/>
    </xf>
    <xf numFmtId="179" fontId="1" fillId="0" borderId="0" xfId="0" applyNumberFormat="1" applyFont="1"/>
    <xf numFmtId="174" fontId="0" fillId="0" borderId="0" xfId="63" applyNumberFormat="1" applyFont="1"/>
    <xf numFmtId="0" fontId="1" fillId="0" borderId="20" xfId="0" applyFont="1" applyBorder="1"/>
    <xf numFmtId="0" fontId="1" fillId="0" borderId="25" xfId="0" applyFont="1" applyBorder="1"/>
    <xf numFmtId="0" fontId="1" fillId="0" borderId="23" xfId="0" applyFont="1" applyBorder="1"/>
    <xf numFmtId="0" fontId="1" fillId="0" borderId="13" xfId="0" applyFont="1" applyBorder="1"/>
    <xf numFmtId="0" fontId="1" fillId="0" borderId="24" xfId="0" applyFont="1" applyBorder="1"/>
    <xf numFmtId="178" fontId="1" fillId="0" borderId="25" xfId="0" applyNumberFormat="1" applyFont="1" applyBorder="1" applyAlignment="1">
      <alignment horizontal="center" vertical="center"/>
    </xf>
    <xf numFmtId="178" fontId="1" fillId="0" borderId="23" xfId="0" applyNumberFormat="1" applyFont="1" applyBorder="1" applyAlignment="1">
      <alignment horizontal="center" vertical="center"/>
    </xf>
    <xf numFmtId="0" fontId="1" fillId="0" borderId="19" xfId="0" applyFont="1" applyBorder="1"/>
    <xf numFmtId="1" fontId="55" fillId="0" borderId="26" xfId="0" applyNumberFormat="1" applyFont="1" applyBorder="1" applyAlignment="1">
      <alignment vertical="center"/>
    </xf>
    <xf numFmtId="1" fontId="63" fillId="0" borderId="26" xfId="0" applyNumberFormat="1" applyFont="1" applyBorder="1" applyAlignment="1">
      <alignment vertical="center"/>
    </xf>
    <xf numFmtId="0" fontId="1" fillId="0" borderId="23" xfId="0" applyFont="1" applyBorder="1" applyAlignment="1">
      <alignment vertical="center"/>
    </xf>
    <xf numFmtId="0" fontId="1" fillId="0" borderId="26" xfId="0" applyFont="1" applyBorder="1" applyAlignment="1">
      <alignment vertical="center"/>
    </xf>
    <xf numFmtId="3" fontId="1" fillId="0" borderId="27" xfId="0" applyNumberFormat="1" applyFont="1" applyBorder="1" applyAlignment="1">
      <alignment vertical="center"/>
    </xf>
    <xf numFmtId="0" fontId="1" fillId="0" borderId="22" xfId="0" applyFont="1" applyBorder="1" applyAlignment="1">
      <alignment vertical="center" wrapText="1"/>
    </xf>
    <xf numFmtId="0" fontId="1" fillId="0" borderId="26" xfId="0" applyFont="1" applyBorder="1" applyAlignment="1">
      <alignment vertical="center" wrapText="1"/>
    </xf>
    <xf numFmtId="3" fontId="1" fillId="0" borderId="27" xfId="0" applyNumberFormat="1" applyFont="1" applyBorder="1" applyAlignment="1">
      <alignment vertical="center" wrapText="1"/>
    </xf>
    <xf numFmtId="1" fontId="55" fillId="0" borderId="26" xfId="0" applyNumberFormat="1" applyFont="1" applyBorder="1" applyAlignment="1">
      <alignment vertical="center" wrapText="1"/>
    </xf>
    <xf numFmtId="1" fontId="63" fillId="0" borderId="26" xfId="0" applyNumberFormat="1" applyFont="1" applyBorder="1" applyAlignment="1">
      <alignment vertical="center" wrapText="1"/>
    </xf>
    <xf numFmtId="0" fontId="1" fillId="0" borderId="23" xfId="0" applyFont="1" applyBorder="1" applyAlignment="1">
      <alignment vertical="center" wrapText="1"/>
    </xf>
    <xf numFmtId="0" fontId="1" fillId="0" borderId="24" xfId="0" applyFont="1" applyBorder="1" applyAlignment="1">
      <alignment vertical="center"/>
    </xf>
    <xf numFmtId="178" fontId="1" fillId="0" borderId="16" xfId="0" applyNumberFormat="1" applyFont="1" applyBorder="1" applyAlignment="1">
      <alignment horizontal="center" vertical="center"/>
    </xf>
    <xf numFmtId="178" fontId="1" fillId="0" borderId="18" xfId="0" applyNumberFormat="1" applyFont="1" applyBorder="1" applyAlignment="1">
      <alignment horizontal="center" vertical="center"/>
    </xf>
    <xf numFmtId="178" fontId="1" fillId="0" borderId="17" xfId="0" applyNumberFormat="1" applyFont="1" applyBorder="1" applyAlignment="1">
      <alignment horizontal="center" vertical="center"/>
    </xf>
    <xf numFmtId="0" fontId="1" fillId="0" borderId="18" xfId="0" applyFont="1" applyBorder="1" applyAlignment="1">
      <alignment vertical="center"/>
    </xf>
    <xf numFmtId="0" fontId="1" fillId="0" borderId="17" xfId="0" applyFont="1" applyBorder="1" applyAlignment="1">
      <alignment vertical="center"/>
    </xf>
    <xf numFmtId="174" fontId="0" fillId="0" borderId="0" xfId="0" applyNumberFormat="1"/>
    <xf numFmtId="9" fontId="0" fillId="0" borderId="0" xfId="0" applyNumberFormat="1"/>
    <xf numFmtId="164" fontId="47" fillId="0" borderId="0" xfId="56" applyNumberFormat="1" applyFont="1" applyFill="1" applyBorder="1" applyAlignment="1">
      <alignment horizontal="right" vertical="center"/>
    </xf>
    <xf numFmtId="0" fontId="1" fillId="0" borderId="0" xfId="0" quotePrefix="1" applyFont="1"/>
    <xf numFmtId="0" fontId="39" fillId="0" borderId="0" xfId="56" applyBorder="1" applyAlignment="1">
      <alignment horizontal="left" vertical="center"/>
    </xf>
    <xf numFmtId="0" fontId="39" fillId="0" borderId="0" xfId="56" applyBorder="1" applyAlignment="1">
      <alignment horizontal="right" vertical="center"/>
    </xf>
    <xf numFmtId="0" fontId="39" fillId="0" borderId="20" xfId="56" applyBorder="1" applyAlignment="1">
      <alignment horizontal="left" vertical="center"/>
    </xf>
    <xf numFmtId="0" fontId="39" fillId="0" borderId="20" xfId="56" applyBorder="1" applyAlignment="1">
      <alignment horizontal="right" vertical="center"/>
    </xf>
    <xf numFmtId="0" fontId="39" fillId="0" borderId="13" xfId="56" applyBorder="1" applyAlignment="1">
      <alignment horizontal="left" vertical="center"/>
    </xf>
    <xf numFmtId="0" fontId="39" fillId="0" borderId="13" xfId="56" applyBorder="1" applyAlignment="1">
      <alignment horizontal="right" vertical="center"/>
    </xf>
    <xf numFmtId="49" fontId="1" fillId="28" borderId="26" xfId="59" quotePrefix="1" applyNumberFormat="1" applyBorder="1" applyAlignment="1" applyProtection="1">
      <alignment vertical="center"/>
      <protection hidden="1"/>
    </xf>
    <xf numFmtId="9" fontId="18" fillId="25" borderId="0" xfId="67" applyNumberFormat="1">
      <alignment horizontal="center" vertical="center"/>
      <protection locked="0"/>
    </xf>
    <xf numFmtId="0" fontId="39" fillId="0" borderId="13" xfId="56" applyAlignment="1">
      <alignment horizontal="left" vertical="center"/>
    </xf>
    <xf numFmtId="0" fontId="39" fillId="0" borderId="13" xfId="56" applyAlignment="1">
      <alignment horizontal="right" vertical="center"/>
    </xf>
    <xf numFmtId="0" fontId="37" fillId="0" borderId="0" xfId="49" applyFont="1" applyFill="1" applyBorder="1" applyAlignment="1">
      <alignment horizontal="left" vertical="center"/>
    </xf>
    <xf numFmtId="0" fontId="37" fillId="0" borderId="0" xfId="56" applyFont="1" applyFill="1" applyBorder="1" applyAlignment="1">
      <alignment horizontal="left" vertical="center"/>
    </xf>
    <xf numFmtId="0" fontId="1" fillId="0" borderId="0" xfId="49" applyFont="1" applyFill="1" applyBorder="1" applyAlignment="1">
      <alignment horizontal="right" vertical="center"/>
    </xf>
    <xf numFmtId="9" fontId="18" fillId="27" borderId="26" xfId="63" applyFont="1" applyFill="1" applyBorder="1" applyAlignment="1">
      <alignment horizontal="center" vertical="center"/>
    </xf>
    <xf numFmtId="9" fontId="18" fillId="27" borderId="26" xfId="63" applyFont="1" applyFill="1" applyBorder="1" applyAlignment="1">
      <alignment horizontal="right" vertical="center"/>
    </xf>
    <xf numFmtId="0" fontId="76" fillId="0" borderId="0" xfId="0" applyFont="1" applyAlignment="1">
      <alignment horizontal="right" vertical="center" readingOrder="1"/>
    </xf>
    <xf numFmtId="0" fontId="30" fillId="0" borderId="0" xfId="60" applyNumberFormat="1" applyFont="1" applyFill="1" applyBorder="1" applyAlignment="1">
      <alignment horizontal="left" vertical="center"/>
    </xf>
    <xf numFmtId="0" fontId="39" fillId="0" borderId="0" xfId="60" applyNumberFormat="1" applyFont="1" applyFill="1" applyBorder="1" applyAlignment="1">
      <alignment horizontal="left" vertical="center"/>
    </xf>
    <xf numFmtId="0" fontId="1" fillId="0" borderId="20" xfId="70" applyBorder="1"/>
    <xf numFmtId="9" fontId="18" fillId="26" borderId="0" xfId="64" applyNumberFormat="1">
      <alignment horizontal="center"/>
      <protection locked="0"/>
    </xf>
    <xf numFmtId="0" fontId="18" fillId="19" borderId="28" xfId="70" applyFont="1" applyFill="1" applyBorder="1" applyAlignment="1">
      <alignment horizontal="left" vertical="center"/>
    </xf>
    <xf numFmtId="9" fontId="1" fillId="0" borderId="28" xfId="70" applyNumberFormat="1" applyBorder="1" applyAlignment="1">
      <alignment horizontal="center" vertical="center"/>
    </xf>
    <xf numFmtId="0" fontId="72" fillId="53" borderId="0" xfId="70" applyFont="1" applyFill="1"/>
    <xf numFmtId="0" fontId="39" fillId="0" borderId="28" xfId="56" applyBorder="1">
      <alignment horizontal="left" vertical="center"/>
    </xf>
    <xf numFmtId="0" fontId="1" fillId="0" borderId="13" xfId="70" applyBorder="1"/>
    <xf numFmtId="9" fontId="1" fillId="0" borderId="28" xfId="70" applyNumberFormat="1" applyBorder="1" applyAlignment="1">
      <alignment horizontal="center"/>
    </xf>
    <xf numFmtId="0" fontId="18" fillId="19" borderId="13" xfId="70" applyFont="1" applyFill="1" applyBorder="1"/>
    <xf numFmtId="9" fontId="1" fillId="0" borderId="13" xfId="70" applyNumberFormat="1" applyBorder="1" applyAlignment="1">
      <alignment horizontal="center" vertical="center"/>
    </xf>
    <xf numFmtId="9" fontId="1" fillId="0" borderId="13" xfId="70" applyNumberFormat="1" applyBorder="1"/>
    <xf numFmtId="0" fontId="18" fillId="0" borderId="0" xfId="70" applyFont="1"/>
    <xf numFmtId="0" fontId="1" fillId="0" borderId="0" xfId="70" applyAlignment="1">
      <alignment wrapText="1"/>
    </xf>
    <xf numFmtId="0" fontId="1" fillId="0" borderId="20" xfId="70" applyBorder="1" applyAlignment="1">
      <alignment horizontal="left" vertical="center"/>
    </xf>
    <xf numFmtId="0" fontId="1" fillId="0" borderId="0" xfId="70" applyAlignment="1">
      <alignment horizontal="left" vertical="center"/>
    </xf>
    <xf numFmtId="0" fontId="1" fillId="0" borderId="13" xfId="70" applyBorder="1" applyAlignment="1">
      <alignment horizontal="left" vertical="center"/>
    </xf>
    <xf numFmtId="0" fontId="35" fillId="0" borderId="0" xfId="70" applyFont="1"/>
    <xf numFmtId="49" fontId="24" fillId="0" borderId="0" xfId="70" applyNumberFormat="1" applyFont="1"/>
    <xf numFmtId="0" fontId="1" fillId="0" borderId="20" xfId="71" applyBorder="1" applyAlignment="1">
      <alignment vertical="center"/>
    </xf>
    <xf numFmtId="0" fontId="1" fillId="0" borderId="13" xfId="71" applyBorder="1" applyAlignment="1">
      <alignment vertical="center"/>
    </xf>
    <xf numFmtId="0" fontId="46" fillId="0" borderId="20" xfId="54" applyBorder="1" applyAlignment="1">
      <alignment horizontal="center" vertical="center" wrapText="1"/>
    </xf>
    <xf numFmtId="0" fontId="46" fillId="0" borderId="13" xfId="54" applyBorder="1" applyAlignment="1">
      <alignment horizontal="center" vertical="center" wrapText="1"/>
    </xf>
    <xf numFmtId="0" fontId="0" fillId="0" borderId="0" xfId="0" applyFont="1"/>
    <xf numFmtId="0" fontId="46" fillId="0" borderId="0" xfId="54" applyBorder="1" applyAlignment="1">
      <alignment horizontal="center" vertical="center" wrapText="1"/>
    </xf>
    <xf numFmtId="0" fontId="1" fillId="0" borderId="20" xfId="70" applyBorder="1" applyAlignment="1">
      <alignment vertical="center"/>
    </xf>
    <xf numFmtId="0" fontId="1" fillId="0" borderId="0" xfId="70" applyAlignment="1">
      <alignment vertical="center"/>
    </xf>
    <xf numFmtId="0" fontId="1" fillId="0" borderId="13" xfId="70" applyBorder="1" applyAlignment="1">
      <alignment vertical="center"/>
    </xf>
    <xf numFmtId="0" fontId="50" fillId="0" borderId="20" xfId="54" applyFont="1" applyBorder="1" applyAlignment="1">
      <alignment horizontal="center" vertical="center" wrapText="1"/>
    </xf>
    <xf numFmtId="0" fontId="50" fillId="0" borderId="0" xfId="54" applyFont="1" applyAlignment="1">
      <alignment horizontal="center" vertical="center" wrapText="1"/>
    </xf>
    <xf numFmtId="0" fontId="50" fillId="0" borderId="20" xfId="70" applyFont="1" applyBorder="1" applyAlignment="1">
      <alignment horizontal="center" vertical="center"/>
    </xf>
    <xf numFmtId="0" fontId="50" fillId="0" borderId="0" xfId="70" applyFont="1" applyAlignment="1">
      <alignment horizontal="center" vertical="center"/>
    </xf>
    <xf numFmtId="0" fontId="50" fillId="0" borderId="13" xfId="70" applyFont="1" applyBorder="1" applyAlignment="1">
      <alignment horizontal="center" vertical="center"/>
    </xf>
    <xf numFmtId="0" fontId="50" fillId="0" borderId="20" xfId="70" applyFont="1" applyBorder="1" applyAlignment="1">
      <alignment horizontal="center"/>
    </xf>
    <xf numFmtId="0" fontId="50" fillId="0" borderId="0" xfId="70" applyFont="1" applyAlignment="1">
      <alignment horizontal="center"/>
    </xf>
    <xf numFmtId="0" fontId="50" fillId="0" borderId="13" xfId="70" applyFont="1" applyBorder="1" applyAlignment="1">
      <alignment horizontal="center"/>
    </xf>
    <xf numFmtId="0" fontId="50" fillId="0" borderId="0" xfId="70" applyFont="1" applyBorder="1" applyAlignment="1">
      <alignment horizontal="center"/>
    </xf>
    <xf numFmtId="0" fontId="39" fillId="0" borderId="13" xfId="56" applyAlignment="1">
      <alignment horizontal="center" vertical="center"/>
    </xf>
    <xf numFmtId="0" fontId="39" fillId="0" borderId="13" xfId="56">
      <alignment horizontal="left" vertical="center"/>
    </xf>
    <xf numFmtId="0" fontId="39" fillId="0" borderId="13" xfId="56" applyFont="1">
      <alignment horizontal="left" vertical="center"/>
    </xf>
    <xf numFmtId="0" fontId="18" fillId="0" borderId="0" xfId="70" applyFont="1" applyAlignment="1">
      <alignment horizontal="left"/>
    </xf>
    <xf numFmtId="0" fontId="1" fillId="0" borderId="0" xfId="70" applyAlignment="1">
      <alignment vertical="center"/>
    </xf>
    <xf numFmtId="0" fontId="1" fillId="0" borderId="13" xfId="70" applyBorder="1" applyAlignment="1">
      <alignment vertical="center"/>
    </xf>
    <xf numFmtId="0" fontId="39" fillId="0" borderId="13" xfId="56">
      <alignment horizontal="left" vertical="center"/>
    </xf>
    <xf numFmtId="49" fontId="42" fillId="18" borderId="0" xfId="0" applyNumberFormat="1" applyFont="1" applyFill="1" applyAlignment="1">
      <alignment vertical="top" wrapText="1"/>
    </xf>
    <xf numFmtId="0" fontId="1" fillId="0" borderId="0" xfId="0" applyFont="1" applyAlignment="1">
      <alignment vertical="top" wrapText="1"/>
    </xf>
    <xf numFmtId="49" fontId="22" fillId="0" borderId="0" xfId="0" applyNumberFormat="1" applyFont="1" applyAlignment="1">
      <alignment vertical="top"/>
    </xf>
    <xf numFmtId="0" fontId="1" fillId="0" borderId="20" xfId="70" applyBorder="1" applyAlignment="1">
      <alignment horizontal="left" vertical="center"/>
    </xf>
    <xf numFmtId="0" fontId="1" fillId="0" borderId="0" xfId="70" applyAlignment="1">
      <alignment horizontal="left" vertical="center"/>
    </xf>
    <xf numFmtId="0" fontId="1" fillId="0" borderId="13" xfId="70" applyBorder="1" applyAlignment="1">
      <alignment horizontal="left" vertical="center"/>
    </xf>
    <xf numFmtId="0" fontId="50" fillId="0" borderId="20" xfId="70" applyFont="1" applyBorder="1" applyAlignment="1">
      <alignment horizontal="center" vertical="center"/>
    </xf>
    <xf numFmtId="0" fontId="50" fillId="0" borderId="0" xfId="70" applyFont="1" applyAlignment="1">
      <alignment horizontal="center" vertical="center"/>
    </xf>
    <xf numFmtId="0" fontId="50" fillId="0" borderId="13" xfId="70" applyFont="1" applyBorder="1" applyAlignment="1">
      <alignment horizontal="center" vertical="center"/>
    </xf>
    <xf numFmtId="0" fontId="1" fillId="0" borderId="20" xfId="70" applyBorder="1" applyAlignment="1">
      <alignment vertical="center"/>
    </xf>
    <xf numFmtId="0" fontId="1" fillId="0" borderId="0" xfId="70" applyAlignment="1">
      <alignment vertical="center"/>
    </xf>
    <xf numFmtId="0" fontId="1" fillId="0" borderId="13" xfId="70" applyBorder="1" applyAlignment="1">
      <alignment vertical="center"/>
    </xf>
    <xf numFmtId="0" fontId="1" fillId="29" borderId="13" xfId="61" applyFont="1" applyBorder="1" applyAlignment="1" applyProtection="1">
      <alignment horizontal="center" vertical="center" wrapText="1"/>
    </xf>
    <xf numFmtId="0" fontId="18" fillId="25" borderId="13" xfId="73" applyBorder="1">
      <alignment horizontal="center" vertical="center"/>
      <protection locked="0"/>
    </xf>
    <xf numFmtId="0" fontId="18" fillId="26" borderId="13" xfId="64" applyBorder="1" applyAlignment="1" applyProtection="1">
      <alignment horizontal="center" vertical="center" wrapText="1"/>
    </xf>
    <xf numFmtId="0" fontId="30" fillId="0" borderId="13" xfId="70" applyFont="1" applyBorder="1" applyAlignment="1">
      <alignment horizontal="center" vertical="center" wrapText="1"/>
    </xf>
    <xf numFmtId="0" fontId="47" fillId="0" borderId="13" xfId="54" applyFont="1" applyBorder="1" applyAlignment="1">
      <alignment horizontal="center" vertical="center" wrapText="1"/>
    </xf>
    <xf numFmtId="0" fontId="18" fillId="0" borderId="13" xfId="70" applyFont="1" applyBorder="1" applyAlignment="1">
      <alignment vertical="center"/>
    </xf>
    <xf numFmtId="0" fontId="18" fillId="0" borderId="20" xfId="70" applyFont="1" applyBorder="1" applyAlignment="1">
      <alignment vertical="center"/>
    </xf>
    <xf numFmtId="0" fontId="18" fillId="24" borderId="13" xfId="68" applyNumberFormat="1" applyBorder="1">
      <alignment horizontal="center"/>
      <protection locked="0"/>
    </xf>
    <xf numFmtId="0" fontId="18" fillId="24" borderId="20" xfId="68" applyNumberFormat="1" applyBorder="1">
      <alignment horizontal="center"/>
      <protection locked="0"/>
    </xf>
    <xf numFmtId="0" fontId="39" fillId="0" borderId="0" xfId="56" applyBorder="1" applyAlignment="1">
      <alignment horizontal="left" vertical="center" wrapText="1"/>
    </xf>
    <xf numFmtId="0" fontId="39" fillId="0" borderId="13" xfId="56" applyAlignment="1">
      <alignment horizontal="left" vertical="center" wrapText="1"/>
    </xf>
    <xf numFmtId="0" fontId="37" fillId="0" borderId="20" xfId="70" applyFont="1" applyBorder="1" applyAlignment="1">
      <alignment horizontal="left" vertical="center" wrapText="1" readingOrder="1"/>
    </xf>
    <xf numFmtId="0" fontId="37" fillId="0" borderId="0" xfId="70" applyFont="1" applyBorder="1" applyAlignment="1">
      <alignment horizontal="left" vertical="center" wrapText="1" readingOrder="1"/>
    </xf>
    <xf numFmtId="0" fontId="37" fillId="0" borderId="0" xfId="70" applyFont="1" applyAlignment="1">
      <alignment horizontal="left" vertical="center" wrapText="1" readingOrder="1"/>
    </xf>
    <xf numFmtId="0" fontId="37" fillId="0" borderId="13" xfId="70" applyFont="1" applyBorder="1" applyAlignment="1">
      <alignment horizontal="left" vertical="center" wrapText="1" readingOrder="1"/>
    </xf>
    <xf numFmtId="0" fontId="1" fillId="0" borderId="13" xfId="70" applyBorder="1" applyAlignment="1">
      <alignment vertical="center" wrapText="1"/>
    </xf>
    <xf numFmtId="0" fontId="39" fillId="0" borderId="13" xfId="56" applyAlignment="1">
      <alignment horizontal="left" vertical="center"/>
    </xf>
    <xf numFmtId="0" fontId="1" fillId="0" borderId="20" xfId="70" applyBorder="1" applyAlignment="1">
      <alignment vertical="center" wrapText="1"/>
    </xf>
    <xf numFmtId="0" fontId="1" fillId="0" borderId="0" xfId="70" applyBorder="1" applyAlignment="1">
      <alignment vertical="center" wrapText="1"/>
    </xf>
    <xf numFmtId="0" fontId="1" fillId="0" borderId="0" xfId="70" applyAlignment="1">
      <alignment vertical="center" wrapText="1"/>
    </xf>
    <xf numFmtId="3" fontId="50" fillId="0" borderId="20" xfId="60" applyNumberFormat="1" applyFont="1" applyBorder="1" applyAlignment="1">
      <alignment horizontal="center" vertical="center"/>
    </xf>
    <xf numFmtId="0" fontId="50" fillId="0" borderId="20" xfId="70" applyFont="1" applyBorder="1" applyAlignment="1">
      <alignment horizontal="center" vertical="center" wrapText="1"/>
    </xf>
    <xf numFmtId="3" fontId="50" fillId="0" borderId="20" xfId="70" applyNumberFormat="1" applyFont="1" applyBorder="1" applyAlignment="1">
      <alignment horizontal="center" vertical="center"/>
    </xf>
    <xf numFmtId="3" fontId="50" fillId="0" borderId="0" xfId="60" applyNumberFormat="1" applyFont="1" applyAlignment="1">
      <alignment horizontal="center" vertical="center"/>
    </xf>
    <xf numFmtId="0" fontId="50" fillId="0" borderId="0" xfId="70" applyFont="1" applyAlignment="1">
      <alignment horizontal="center" vertical="center" wrapText="1"/>
    </xf>
    <xf numFmtId="3" fontId="50" fillId="0" borderId="0" xfId="70" applyNumberFormat="1" applyFont="1" applyAlignment="1">
      <alignment horizontal="center" vertical="center"/>
    </xf>
    <xf numFmtId="3" fontId="50" fillId="0" borderId="13" xfId="60" applyNumberFormat="1" applyFont="1" applyBorder="1" applyAlignment="1">
      <alignment horizontal="center" vertical="center"/>
    </xf>
    <xf numFmtId="0" fontId="50" fillId="0" borderId="13" xfId="70" applyFont="1" applyBorder="1" applyAlignment="1">
      <alignment horizontal="center" vertical="center" wrapText="1"/>
    </xf>
    <xf numFmtId="3" fontId="50" fillId="0" borderId="13" xfId="70" applyNumberFormat="1" applyFont="1" applyBorder="1" applyAlignment="1">
      <alignment horizontal="center" vertical="center"/>
    </xf>
    <xf numFmtId="0" fontId="18" fillId="0" borderId="20" xfId="70" applyFont="1" applyBorder="1" applyAlignment="1">
      <alignment vertical="center" wrapText="1"/>
    </xf>
    <xf numFmtId="0" fontId="18" fillId="0" borderId="0" xfId="70" applyFont="1" applyBorder="1" applyAlignment="1">
      <alignment vertical="center" wrapText="1"/>
    </xf>
    <xf numFmtId="0" fontId="18" fillId="0" borderId="13" xfId="70" applyFont="1" applyBorder="1" applyAlignment="1">
      <alignment vertical="center" wrapText="1"/>
    </xf>
    <xf numFmtId="0" fontId="48" fillId="0" borderId="0" xfId="65" applyFont="1" applyAlignment="1" applyProtection="1">
      <alignment vertical="center" wrapText="1"/>
    </xf>
    <xf numFmtId="0" fontId="18" fillId="24" borderId="20" xfId="68" applyNumberFormat="1" applyBorder="1" applyAlignment="1">
      <alignment horizontal="center" vertical="center" wrapText="1"/>
      <protection locked="0"/>
    </xf>
    <xf numFmtId="0" fontId="18" fillId="24" borderId="0" xfId="68" applyNumberFormat="1" applyAlignment="1">
      <alignment horizontal="center" vertical="center" wrapText="1"/>
      <protection locked="0"/>
    </xf>
    <xf numFmtId="0" fontId="18" fillId="24" borderId="13" xfId="68" applyNumberFormat="1" applyBorder="1" applyAlignment="1">
      <alignment horizontal="center" vertical="center" wrapText="1"/>
      <protection locked="0"/>
    </xf>
    <xf numFmtId="2" fontId="1" fillId="0" borderId="0" xfId="0" applyNumberFormat="1" applyFont="1" applyAlignment="1">
      <alignment vertical="center"/>
    </xf>
    <xf numFmtId="0" fontId="46" fillId="0" borderId="20" xfId="70" applyFont="1" applyBorder="1" applyAlignment="1">
      <alignment horizontal="center"/>
    </xf>
    <xf numFmtId="0" fontId="46" fillId="0" borderId="0" xfId="70" applyFont="1" applyAlignment="1">
      <alignment horizontal="center"/>
    </xf>
    <xf numFmtId="0" fontId="46" fillId="0" borderId="20" xfId="70" applyFont="1" applyBorder="1" applyAlignment="1">
      <alignment horizontal="center" vertical="center" wrapText="1"/>
    </xf>
    <xf numFmtId="0" fontId="46" fillId="0" borderId="0" xfId="70" applyFont="1" applyBorder="1" applyAlignment="1">
      <alignment horizontal="center" vertical="center" wrapText="1"/>
    </xf>
    <xf numFmtId="3" fontId="46" fillId="0" borderId="0" xfId="60" applyNumberFormat="1" applyFont="1" applyAlignment="1">
      <alignment horizontal="center"/>
    </xf>
    <xf numFmtId="0" fontId="46" fillId="0" borderId="13" xfId="70" applyFont="1" applyBorder="1" applyAlignment="1">
      <alignment horizontal="center"/>
    </xf>
    <xf numFmtId="3" fontId="46" fillId="0" borderId="13" xfId="60" applyNumberFormat="1" applyFont="1" applyBorder="1" applyAlignment="1">
      <alignment horizontal="center"/>
    </xf>
    <xf numFmtId="3" fontId="46" fillId="0" borderId="20" xfId="60" applyNumberFormat="1" applyFont="1" applyBorder="1" applyAlignment="1">
      <alignment horizontal="center"/>
    </xf>
    <xf numFmtId="0" fontId="1" fillId="0" borderId="20" xfId="70" applyBorder="1" applyAlignment="1">
      <alignment horizontal="left" vertical="center" wrapText="1"/>
    </xf>
    <xf numFmtId="0" fontId="1" fillId="0" borderId="0" xfId="70" applyAlignment="1">
      <alignment horizontal="left" vertical="center" wrapText="1"/>
    </xf>
    <xf numFmtId="0" fontId="1" fillId="0" borderId="13" xfId="70" applyBorder="1" applyAlignment="1">
      <alignment horizontal="left" vertical="center" wrapText="1"/>
    </xf>
    <xf numFmtId="0" fontId="1" fillId="30" borderId="0" xfId="70" applyFont="1" applyFill="1" applyAlignment="1">
      <alignment vertical="center"/>
    </xf>
    <xf numFmtId="0" fontId="46" fillId="30" borderId="0" xfId="54" applyFill="1" applyBorder="1" applyAlignment="1">
      <alignment horizontal="center" vertical="center"/>
    </xf>
    <xf numFmtId="0" fontId="50" fillId="30" borderId="0" xfId="70" applyFont="1" applyFill="1" applyBorder="1" applyAlignment="1">
      <alignment horizontal="center" vertical="center"/>
    </xf>
    <xf numFmtId="0" fontId="1" fillId="30" borderId="0" xfId="70" applyFill="1" applyBorder="1"/>
    <xf numFmtId="0" fontId="50" fillId="30" borderId="0" xfId="70" applyFont="1" applyFill="1" applyBorder="1" applyAlignment="1">
      <alignment horizontal="center"/>
    </xf>
    <xf numFmtId="0" fontId="1" fillId="30" borderId="0" xfId="70" applyFont="1" applyFill="1"/>
    <xf numFmtId="0" fontId="1" fillId="18" borderId="0" xfId="0" applyFont="1" applyFill="1" applyAlignment="1">
      <alignment vertical="top"/>
    </xf>
    <xf numFmtId="0" fontId="1" fillId="29" borderId="0" xfId="61" applyFont="1"/>
    <xf numFmtId="0" fontId="35" fillId="0" borderId="0" xfId="0" applyFont="1" applyBorder="1" applyAlignment="1">
      <alignment horizontal="left" vertical="top" wrapText="1"/>
    </xf>
    <xf numFmtId="0" fontId="1" fillId="18" borderId="0" xfId="0" applyFont="1" applyFill="1" applyBorder="1" applyAlignment="1">
      <alignment vertical="top" wrapText="1"/>
    </xf>
    <xf numFmtId="49" fontId="1" fillId="18" borderId="0" xfId="0" applyNumberFormat="1" applyFont="1" applyFill="1" applyBorder="1" applyAlignment="1">
      <alignment vertical="top" wrapText="1"/>
    </xf>
    <xf numFmtId="0" fontId="18" fillId="18" borderId="0" xfId="0" applyFont="1" applyFill="1" applyBorder="1" applyAlignment="1">
      <alignment horizontal="left" vertical="top" wrapText="1"/>
    </xf>
    <xf numFmtId="0" fontId="1" fillId="18" borderId="0" xfId="0" applyFont="1" applyFill="1" applyAlignment="1">
      <alignment vertical="top" wrapText="1"/>
    </xf>
    <xf numFmtId="49" fontId="1" fillId="18" borderId="0" xfId="0" applyNumberFormat="1" applyFont="1" applyFill="1" applyAlignment="1">
      <alignment vertical="top" wrapText="1"/>
    </xf>
    <xf numFmtId="3" fontId="50" fillId="0" borderId="0" xfId="60" applyNumberFormat="1" applyFont="1" applyAlignment="1">
      <alignment horizontal="center" vertical="center" wrapText="1"/>
    </xf>
    <xf numFmtId="3" fontId="50" fillId="0" borderId="0" xfId="70" applyNumberFormat="1" applyFont="1" applyAlignment="1">
      <alignment horizontal="center" vertical="center" wrapText="1"/>
    </xf>
    <xf numFmtId="0" fontId="18" fillId="0" borderId="31" xfId="71" applyFont="1" applyBorder="1" applyAlignment="1">
      <alignment horizontal="center" vertical="center" wrapText="1"/>
    </xf>
    <xf numFmtId="0" fontId="18" fillId="0" borderId="32" xfId="71" applyFont="1" applyBorder="1" applyAlignment="1">
      <alignment horizontal="center" vertical="center" wrapText="1"/>
    </xf>
    <xf numFmtId="0" fontId="39" fillId="0" borderId="27" xfId="57" applyFont="1" applyBorder="1" applyAlignment="1">
      <alignment horizontal="center" vertical="center"/>
    </xf>
    <xf numFmtId="0" fontId="39" fillId="0" borderId="28" xfId="57" applyFont="1" applyBorder="1" applyAlignment="1">
      <alignment horizontal="center" vertical="center"/>
    </xf>
    <xf numFmtId="0" fontId="39" fillId="0" borderId="29" xfId="57" applyFont="1" applyBorder="1" applyAlignment="1">
      <alignment horizontal="center" vertical="center"/>
    </xf>
    <xf numFmtId="0" fontId="39" fillId="0" borderId="26" xfId="57" applyFont="1" applyBorder="1" applyAlignment="1">
      <alignment horizontal="center" vertical="center"/>
    </xf>
    <xf numFmtId="0" fontId="18" fillId="0" borderId="26" xfId="71" applyFont="1" applyBorder="1" applyAlignment="1">
      <alignment horizontal="center" vertical="center"/>
    </xf>
    <xf numFmtId="0" fontId="18" fillId="0" borderId="20" xfId="71" applyFont="1" applyBorder="1" applyAlignment="1">
      <alignment horizontal="center" vertical="center" wrapText="1"/>
    </xf>
    <xf numFmtId="0" fontId="18" fillId="0" borderId="13" xfId="71" applyFont="1" applyBorder="1" applyAlignment="1">
      <alignment horizontal="center" vertical="center" wrapText="1"/>
    </xf>
    <xf numFmtId="0" fontId="18" fillId="0" borderId="27" xfId="71" applyFont="1" applyBorder="1" applyAlignment="1">
      <alignment horizontal="center" vertical="center"/>
    </xf>
    <xf numFmtId="0" fontId="18" fillId="0" borderId="29" xfId="71" applyFont="1" applyBorder="1" applyAlignment="1">
      <alignment horizontal="center" vertical="center"/>
    </xf>
    <xf numFmtId="0" fontId="18" fillId="0" borderId="25" xfId="71" applyFont="1" applyBorder="1" applyAlignment="1">
      <alignment horizontal="center" vertical="center" wrapText="1"/>
    </xf>
    <xf numFmtId="0" fontId="18" fillId="0" borderId="24" xfId="71" applyFont="1" applyBorder="1" applyAlignment="1">
      <alignment horizontal="center" vertical="center" wrapText="1"/>
    </xf>
    <xf numFmtId="0" fontId="18" fillId="0" borderId="30" xfId="71" applyFont="1" applyBorder="1" applyAlignment="1">
      <alignment horizontal="center" vertical="center" wrapText="1"/>
    </xf>
    <xf numFmtId="0" fontId="50" fillId="0" borderId="18" xfId="71" applyFont="1" applyBorder="1" applyAlignment="1">
      <alignment horizontal="center" vertical="center"/>
    </xf>
    <xf numFmtId="0" fontId="51" fillId="0" borderId="22" xfId="71" applyFont="1" applyBorder="1" applyAlignment="1">
      <alignment horizontal="center" vertical="center"/>
    </xf>
    <xf numFmtId="0" fontId="39" fillId="0" borderId="27" xfId="57" applyBorder="1" applyAlignment="1">
      <alignment horizontal="center" vertical="center" wrapText="1"/>
    </xf>
    <xf numFmtId="0" fontId="39" fillId="0" borderId="29" xfId="57" applyBorder="1" applyAlignment="1">
      <alignment horizontal="center" vertical="center" wrapText="1"/>
    </xf>
    <xf numFmtId="0" fontId="18" fillId="0" borderId="27" xfId="71" applyFont="1" applyBorder="1" applyAlignment="1">
      <alignment horizontal="center" vertical="center" wrapText="1"/>
    </xf>
    <xf numFmtId="0" fontId="18" fillId="0" borderId="29" xfId="71" applyFont="1" applyBorder="1" applyAlignment="1">
      <alignment horizontal="center" vertical="center" wrapText="1"/>
    </xf>
    <xf numFmtId="0" fontId="39" fillId="0" borderId="26" xfId="57" applyBorder="1" applyAlignment="1">
      <alignment horizontal="center" vertical="center" wrapText="1"/>
    </xf>
    <xf numFmtId="0" fontId="18" fillId="0" borderId="19" xfId="71" applyFont="1" applyBorder="1" applyAlignment="1">
      <alignment horizontal="center" vertical="center" wrapText="1"/>
    </xf>
    <xf numFmtId="0" fontId="18" fillId="0" borderId="21" xfId="71" applyFont="1" applyBorder="1" applyAlignment="1">
      <alignment horizontal="center" vertical="center" wrapText="1"/>
    </xf>
    <xf numFmtId="0" fontId="39" fillId="0" borderId="28" xfId="57" applyBorder="1" applyAlignment="1">
      <alignment horizontal="center" vertical="center" wrapText="1"/>
    </xf>
    <xf numFmtId="0" fontId="18" fillId="0" borderId="26" xfId="71" applyFont="1" applyBorder="1" applyAlignment="1">
      <alignment horizontal="center" vertical="center" wrapText="1"/>
    </xf>
    <xf numFmtId="0" fontId="39" fillId="0" borderId="25" xfId="71" applyFont="1" applyBorder="1" applyAlignment="1">
      <alignment horizontal="center" vertical="center" wrapText="1"/>
    </xf>
    <xf numFmtId="0" fontId="39" fillId="0" borderId="24" xfId="71" applyFont="1" applyBorder="1" applyAlignment="1">
      <alignment horizontal="center" vertical="center" wrapText="1"/>
    </xf>
    <xf numFmtId="0" fontId="53" fillId="0" borderId="27" xfId="56" applyFont="1" applyBorder="1" applyAlignment="1">
      <alignment horizontal="center" vertical="center"/>
    </xf>
    <xf numFmtId="0" fontId="53" fillId="0" borderId="28" xfId="56" applyFont="1" applyBorder="1" applyAlignment="1">
      <alignment horizontal="center" vertical="center"/>
    </xf>
    <xf numFmtId="0" fontId="53" fillId="0" borderId="29" xfId="56" applyFont="1" applyBorder="1" applyAlignment="1">
      <alignment horizontal="center" vertical="center"/>
    </xf>
    <xf numFmtId="0" fontId="39" fillId="0" borderId="16" xfId="57" applyBorder="1" applyAlignment="1">
      <alignment horizontal="center" vertical="center" wrapText="1"/>
    </xf>
    <xf numFmtId="0" fontId="39" fillId="0" borderId="18" xfId="57" applyBorder="1" applyAlignment="1">
      <alignment horizontal="center" vertical="center" wrapText="1"/>
    </xf>
    <xf numFmtId="0" fontId="39" fillId="0" borderId="17" xfId="57" applyBorder="1" applyAlignment="1">
      <alignment horizontal="center" vertical="center" wrapText="1"/>
    </xf>
    <xf numFmtId="0" fontId="39" fillId="0" borderId="20" xfId="57" applyBorder="1" applyAlignment="1">
      <alignment horizontal="center" vertical="center" wrapText="1"/>
    </xf>
    <xf numFmtId="0" fontId="39" fillId="0" borderId="13" xfId="57" applyBorder="1" applyAlignment="1">
      <alignment horizontal="center" vertical="center" wrapText="1"/>
    </xf>
    <xf numFmtId="0" fontId="39" fillId="0" borderId="19" xfId="57" applyBorder="1" applyAlignment="1">
      <alignment horizontal="center" vertical="center" wrapText="1"/>
    </xf>
    <xf numFmtId="0" fontId="39" fillId="0" borderId="21" xfId="57" applyBorder="1" applyAlignment="1">
      <alignment horizontal="center" vertical="center" wrapText="1"/>
    </xf>
    <xf numFmtId="0" fontId="52" fillId="0" borderId="22" xfId="71" applyFont="1" applyBorder="1" applyAlignment="1">
      <alignment horizontal="center" vertical="center" wrapText="1"/>
    </xf>
    <xf numFmtId="0" fontId="52" fillId="0" borderId="22" xfId="71" applyFont="1" applyBorder="1" applyAlignment="1">
      <alignment horizontal="center" vertical="center"/>
    </xf>
    <xf numFmtId="0" fontId="55" fillId="0" borderId="18" xfId="71" applyFont="1" applyBorder="1" applyAlignment="1">
      <alignment horizontal="center" vertical="center"/>
    </xf>
    <xf numFmtId="0" fontId="18" fillId="0" borderId="26" xfId="57" applyFont="1" applyBorder="1" applyAlignment="1">
      <alignment horizontal="center" vertical="center"/>
    </xf>
    <xf numFmtId="0" fontId="53" fillId="0" borderId="20" xfId="56" applyFont="1" applyBorder="1" applyAlignment="1">
      <alignment horizontal="center" vertical="center"/>
    </xf>
    <xf numFmtId="0" fontId="53" fillId="0" borderId="25" xfId="56" applyFont="1" applyBorder="1" applyAlignment="1">
      <alignment horizontal="center" vertical="center"/>
    </xf>
    <xf numFmtId="0" fontId="18" fillId="0" borderId="26" xfId="57" applyFont="1" applyBorder="1" applyAlignment="1">
      <alignment horizontal="center" vertical="center" wrapText="1"/>
    </xf>
    <xf numFmtId="0" fontId="39" fillId="0" borderId="27" xfId="57" applyFont="1" applyBorder="1" applyAlignment="1">
      <alignment horizontal="center" vertical="center" wrapText="1"/>
    </xf>
    <xf numFmtId="0" fontId="39" fillId="0" borderId="29" xfId="57" applyFont="1" applyBorder="1" applyAlignment="1">
      <alignment horizontal="center" vertical="center" wrapText="1"/>
    </xf>
    <xf numFmtId="0" fontId="60" fillId="0" borderId="27" xfId="56" applyFont="1" applyBorder="1" applyAlignment="1">
      <alignment horizontal="center" vertical="center"/>
    </xf>
    <xf numFmtId="0" fontId="60" fillId="0" borderId="28" xfId="56" applyFont="1" applyBorder="1" applyAlignment="1">
      <alignment horizontal="center" vertical="center"/>
    </xf>
    <xf numFmtId="0" fontId="60" fillId="0" borderId="29" xfId="56" applyFont="1" applyBorder="1" applyAlignment="1">
      <alignment horizontal="center" vertical="center"/>
    </xf>
    <xf numFmtId="0" fontId="18" fillId="0" borderId="27" xfId="57" applyFont="1" applyBorder="1" applyAlignment="1">
      <alignment horizontal="center" vertical="center"/>
    </xf>
    <xf numFmtId="0" fontId="18" fillId="0" borderId="29" xfId="57" applyFont="1" applyBorder="1" applyAlignment="1">
      <alignment horizontal="center" vertical="center"/>
    </xf>
    <xf numFmtId="0" fontId="53" fillId="0" borderId="16" xfId="56" applyFont="1" applyBorder="1" applyAlignment="1">
      <alignment horizontal="center" vertical="center"/>
    </xf>
    <xf numFmtId="0" fontId="53" fillId="0" borderId="18" xfId="56" applyFont="1" applyBorder="1" applyAlignment="1">
      <alignment horizontal="center" vertical="center"/>
    </xf>
    <xf numFmtId="0" fontId="53" fillId="0" borderId="17" xfId="56" applyFont="1" applyBorder="1" applyAlignment="1">
      <alignment horizontal="center" vertical="center"/>
    </xf>
    <xf numFmtId="0" fontId="39" fillId="0" borderId="20" xfId="71" applyFont="1" applyBorder="1" applyAlignment="1">
      <alignment horizontal="center" vertical="center" wrapText="1"/>
    </xf>
    <xf numFmtId="0" fontId="39" fillId="0" borderId="13" xfId="71" applyFont="1" applyBorder="1" applyAlignment="1">
      <alignment horizontal="center" vertical="center" wrapText="1"/>
    </xf>
    <xf numFmtId="0" fontId="37" fillId="0" borderId="0" xfId="0" applyFont="1" applyFill="1" applyBorder="1" applyAlignment="1">
      <alignment horizontal="left" vertical="center" wrapText="1"/>
    </xf>
    <xf numFmtId="0" fontId="37" fillId="0" borderId="13" xfId="0" applyFont="1" applyFill="1" applyBorder="1" applyAlignment="1">
      <alignment horizontal="left" vertical="center" wrapText="1"/>
    </xf>
    <xf numFmtId="0" fontId="37" fillId="0" borderId="0" xfId="0" applyNumberFormat="1" applyFont="1" applyFill="1" applyBorder="1" applyAlignment="1">
      <alignment vertical="center" wrapText="1"/>
    </xf>
    <xf numFmtId="0" fontId="37" fillId="0" borderId="0" xfId="0" applyFont="1" applyFill="1" applyBorder="1" applyAlignment="1">
      <alignment vertical="center" wrapText="1"/>
    </xf>
    <xf numFmtId="0" fontId="1" fillId="30" borderId="20" xfId="70" applyFont="1" applyFill="1" applyBorder="1" applyAlignment="1">
      <alignment horizontal="left" wrapText="1"/>
    </xf>
    <xf numFmtId="0" fontId="1" fillId="0" borderId="20" xfId="70" applyBorder="1" applyAlignment="1">
      <alignment horizontal="left" vertical="center"/>
    </xf>
    <xf numFmtId="0" fontId="1" fillId="0" borderId="0" xfId="70" applyAlignment="1">
      <alignment horizontal="left" vertical="center"/>
    </xf>
    <xf numFmtId="0" fontId="1" fillId="0" borderId="13" xfId="70" applyBorder="1" applyAlignment="1">
      <alignment horizontal="left" vertical="center"/>
    </xf>
    <xf numFmtId="0" fontId="50" fillId="0" borderId="20" xfId="70" applyFont="1" applyBorder="1" applyAlignment="1">
      <alignment horizontal="center" vertical="center"/>
    </xf>
    <xf numFmtId="0" fontId="50" fillId="0" borderId="0" xfId="70" applyFont="1" applyAlignment="1">
      <alignment horizontal="center" vertical="center"/>
    </xf>
    <xf numFmtId="0" fontId="50" fillId="0" borderId="13" xfId="70" applyFont="1" applyBorder="1" applyAlignment="1">
      <alignment horizontal="center" vertical="center"/>
    </xf>
    <xf numFmtId="0" fontId="1" fillId="0" borderId="20" xfId="70" applyBorder="1" applyAlignment="1">
      <alignment vertical="center"/>
    </xf>
    <xf numFmtId="0" fontId="1" fillId="0" borderId="0" xfId="70" applyAlignment="1">
      <alignment vertical="center"/>
    </xf>
    <xf numFmtId="0" fontId="1" fillId="0" borderId="13" xfId="70" applyBorder="1" applyAlignment="1">
      <alignment vertical="center"/>
    </xf>
    <xf numFmtId="0" fontId="46" fillId="0" borderId="20" xfId="54" applyBorder="1" applyAlignment="1">
      <alignment horizontal="center" vertical="center"/>
    </xf>
    <xf numFmtId="0" fontId="46" fillId="0" borderId="0" xfId="54" applyAlignment="1">
      <alignment horizontal="center" vertical="center"/>
    </xf>
    <xf numFmtId="0" fontId="46" fillId="0" borderId="13" xfId="54" applyBorder="1" applyAlignment="1">
      <alignment horizontal="center" vertical="center"/>
    </xf>
    <xf numFmtId="0" fontId="46" fillId="0" borderId="20" xfId="54" applyBorder="1" applyAlignment="1">
      <alignment horizontal="center" vertical="center" wrapText="1"/>
    </xf>
    <xf numFmtId="0" fontId="46" fillId="0" borderId="0" xfId="54" applyAlignment="1">
      <alignment horizontal="center" vertical="center" wrapText="1"/>
    </xf>
    <xf numFmtId="0" fontId="46" fillId="0" borderId="13" xfId="54" applyBorder="1" applyAlignment="1">
      <alignment horizontal="center" vertical="center" wrapText="1"/>
    </xf>
    <xf numFmtId="9" fontId="18" fillId="26" borderId="20" xfId="64" applyNumberFormat="1" applyBorder="1" applyAlignment="1">
      <alignment horizontal="center" vertical="center"/>
      <protection locked="0"/>
    </xf>
    <xf numFmtId="9" fontId="18" fillId="26" borderId="0" xfId="64" applyNumberFormat="1" applyAlignment="1">
      <alignment horizontal="center" vertical="center"/>
      <protection locked="0"/>
    </xf>
    <xf numFmtId="0" fontId="1" fillId="0" borderId="20" xfId="70" applyBorder="1" applyAlignment="1">
      <alignment horizontal="left" vertical="center" wrapText="1"/>
    </xf>
    <xf numFmtId="0" fontId="1" fillId="0" borderId="0" xfId="70" applyAlignment="1">
      <alignment horizontal="left" vertical="center" wrapText="1"/>
    </xf>
    <xf numFmtId="0" fontId="1" fillId="0" borderId="13" xfId="70" applyBorder="1" applyAlignment="1">
      <alignment horizontal="left" vertical="center" wrapText="1"/>
    </xf>
    <xf numFmtId="9" fontId="18" fillId="26" borderId="13" xfId="64" applyNumberFormat="1" applyBorder="1" applyAlignment="1">
      <alignment horizontal="center" vertical="center"/>
      <protection locked="0"/>
    </xf>
    <xf numFmtId="0" fontId="39" fillId="0" borderId="0" xfId="56" applyBorder="1" applyAlignment="1">
      <alignment horizontal="left" vertical="center"/>
    </xf>
    <xf numFmtId="0" fontId="1" fillId="0" borderId="0" xfId="70" applyBorder="1" applyAlignment="1">
      <alignment horizontal="left" vertical="center" wrapText="1"/>
    </xf>
    <xf numFmtId="0" fontId="39" fillId="0" borderId="13" xfId="56" applyAlignment="1">
      <alignment horizontal="left" vertical="center"/>
    </xf>
    <xf numFmtId="0" fontId="72" fillId="52" borderId="26" xfId="0" applyFont="1" applyFill="1" applyBorder="1" applyAlignment="1">
      <alignment horizontal="center"/>
    </xf>
    <xf numFmtId="0" fontId="18" fillId="0" borderId="16" xfId="0" applyFont="1" applyBorder="1" applyAlignment="1">
      <alignment horizontal="center" vertical="center"/>
    </xf>
    <xf numFmtId="0" fontId="18" fillId="0" borderId="18" xfId="0" applyFont="1" applyBorder="1" applyAlignment="1">
      <alignment horizontal="center" vertical="center"/>
    </xf>
    <xf numFmtId="0" fontId="18" fillId="0" borderId="17" xfId="0" applyFont="1" applyBorder="1" applyAlignment="1">
      <alignment horizontal="center" vertical="center"/>
    </xf>
    <xf numFmtId="0" fontId="72" fillId="52" borderId="19" xfId="0" applyFont="1" applyFill="1" applyBorder="1" applyAlignment="1">
      <alignment horizontal="center"/>
    </xf>
    <xf numFmtId="0" fontId="72" fillId="52" borderId="20" xfId="0" applyFont="1" applyFill="1" applyBorder="1" applyAlignment="1">
      <alignment horizontal="center"/>
    </xf>
    <xf numFmtId="0" fontId="72" fillId="52" borderId="25" xfId="0" applyFont="1" applyFill="1" applyBorder="1" applyAlignment="1">
      <alignment horizontal="center"/>
    </xf>
    <xf numFmtId="0" fontId="18" fillId="0" borderId="0" xfId="0" applyFont="1" applyAlignment="1">
      <alignment horizontal="center"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72" fillId="36" borderId="19" xfId="71" applyFont="1" applyFill="1" applyBorder="1" applyAlignment="1">
      <alignment horizontal="center" vertical="center"/>
    </xf>
    <xf numFmtId="0" fontId="72" fillId="36" borderId="20" xfId="71" applyFont="1" applyFill="1" applyBorder="1" applyAlignment="1">
      <alignment horizontal="center" vertical="center"/>
    </xf>
    <xf numFmtId="0" fontId="72" fillId="36" borderId="22" xfId="61" applyFont="1" applyFill="1" applyBorder="1" applyAlignment="1">
      <alignment horizontal="center" vertical="center"/>
    </xf>
    <xf numFmtId="0" fontId="72" fillId="36" borderId="0" xfId="61" applyFont="1" applyFill="1" applyBorder="1" applyAlignment="1">
      <alignment horizontal="center" vertical="center"/>
    </xf>
    <xf numFmtId="0" fontId="72" fillId="36" borderId="21" xfId="61" applyFont="1" applyFill="1" applyBorder="1" applyAlignment="1">
      <alignment horizontal="center" vertical="center"/>
    </xf>
    <xf numFmtId="0" fontId="72" fillId="36" borderId="13" xfId="61" applyFont="1" applyFill="1" applyBorder="1" applyAlignment="1">
      <alignment horizontal="center" vertical="center"/>
    </xf>
    <xf numFmtId="0" fontId="1" fillId="0" borderId="26" xfId="0" applyFont="1" applyBorder="1" applyAlignment="1">
      <alignment horizontal="center" vertical="center" wrapText="1"/>
    </xf>
    <xf numFmtId="0" fontId="1" fillId="0" borderId="19" xfId="71" applyBorder="1" applyAlignment="1">
      <alignment horizontal="center" vertical="center" wrapText="1"/>
    </xf>
    <xf numFmtId="0" fontId="1" fillId="0" borderId="20" xfId="71" applyBorder="1" applyAlignment="1">
      <alignment horizontal="center" vertical="center" wrapText="1"/>
    </xf>
    <xf numFmtId="0" fontId="1" fillId="0" borderId="25" xfId="71" applyBorder="1" applyAlignment="1">
      <alignment horizontal="center" vertical="center" wrapText="1"/>
    </xf>
    <xf numFmtId="0" fontId="1" fillId="0" borderId="22" xfId="71" applyBorder="1" applyAlignment="1">
      <alignment horizontal="center" vertical="center" wrapText="1"/>
    </xf>
    <xf numFmtId="0" fontId="1" fillId="0" borderId="0" xfId="71" applyAlignment="1">
      <alignment horizontal="center" vertical="center" wrapText="1"/>
    </xf>
    <xf numFmtId="0" fontId="1" fillId="0" borderId="23" xfId="71" applyBorder="1" applyAlignment="1">
      <alignment horizontal="center" vertical="center" wrapText="1"/>
    </xf>
    <xf numFmtId="0" fontId="1" fillId="0" borderId="21" xfId="71" applyBorder="1" applyAlignment="1">
      <alignment horizontal="center" vertical="center" wrapText="1"/>
    </xf>
    <xf numFmtId="0" fontId="1" fillId="0" borderId="13" xfId="71" applyBorder="1" applyAlignment="1">
      <alignment horizontal="center" vertical="center" wrapText="1"/>
    </xf>
    <xf numFmtId="0" fontId="1" fillId="0" borderId="24" xfId="71" applyBorder="1" applyAlignment="1">
      <alignment horizontal="center" vertical="center" wrapText="1"/>
    </xf>
    <xf numFmtId="0" fontId="18" fillId="0" borderId="28" xfId="71" applyFont="1" applyBorder="1" applyAlignment="1">
      <alignment horizontal="center" vertical="center"/>
    </xf>
    <xf numFmtId="0" fontId="39" fillId="35" borderId="27" xfId="57" applyFill="1" applyBorder="1">
      <alignment horizontal="center" vertical="center"/>
    </xf>
    <xf numFmtId="0" fontId="39" fillId="35" borderId="28" xfId="57" applyFill="1" applyBorder="1">
      <alignment horizontal="center" vertical="center"/>
    </xf>
    <xf numFmtId="0" fontId="39" fillId="35" borderId="29" xfId="57" applyFill="1" applyBorder="1">
      <alignment horizontal="center" vertical="center"/>
    </xf>
    <xf numFmtId="0" fontId="39" fillId="0" borderId="16" xfId="56" applyBorder="1" applyAlignment="1">
      <alignment horizontal="center" vertical="center"/>
    </xf>
    <xf numFmtId="0" fontId="39" fillId="0" borderId="18" xfId="56" applyBorder="1" applyAlignment="1">
      <alignment horizontal="center" vertical="center"/>
    </xf>
    <xf numFmtId="0" fontId="39" fillId="0" borderId="17" xfId="56" applyBorder="1" applyAlignment="1">
      <alignment horizontal="center" vertical="center"/>
    </xf>
    <xf numFmtId="0" fontId="71" fillId="0" borderId="27" xfId="56" applyFont="1" applyBorder="1" applyAlignment="1">
      <alignment horizontal="center" vertical="center"/>
    </xf>
    <xf numFmtId="0" fontId="71" fillId="0" borderId="28" xfId="56" applyFont="1" applyBorder="1" applyAlignment="1">
      <alignment horizontal="center" vertical="center"/>
    </xf>
    <xf numFmtId="0" fontId="71" fillId="0" borderId="29" xfId="56" applyFont="1" applyBorder="1" applyAlignment="1">
      <alignment horizontal="center" vertical="center"/>
    </xf>
    <xf numFmtId="0" fontId="72" fillId="34" borderId="22" xfId="71" applyFont="1" applyFill="1" applyBorder="1" applyAlignment="1">
      <alignment horizontal="center" vertical="center" wrapText="1"/>
    </xf>
    <xf numFmtId="0" fontId="72" fillId="34" borderId="0" xfId="71" applyFont="1" applyFill="1" applyAlignment="1">
      <alignment horizontal="center" vertical="center" wrapText="1"/>
    </xf>
    <xf numFmtId="0" fontId="72" fillId="34" borderId="23" xfId="71" applyFont="1" applyFill="1" applyBorder="1" applyAlignment="1">
      <alignment horizontal="center" vertical="center" wrapText="1"/>
    </xf>
    <xf numFmtId="0" fontId="72" fillId="34" borderId="21" xfId="71" applyFont="1" applyFill="1" applyBorder="1" applyAlignment="1">
      <alignment horizontal="center" vertical="center" wrapText="1"/>
    </xf>
    <xf numFmtId="0" fontId="72" fillId="34" borderId="13" xfId="71" applyFont="1" applyFill="1" applyBorder="1" applyAlignment="1">
      <alignment horizontal="center" vertical="center" wrapText="1"/>
    </xf>
    <xf numFmtId="0" fontId="72" fillId="34" borderId="24" xfId="71" applyFont="1" applyFill="1" applyBorder="1" applyAlignment="1">
      <alignment horizontal="center" vertical="center" wrapText="1"/>
    </xf>
    <xf numFmtId="0" fontId="27" fillId="0" borderId="19" xfId="71" applyFont="1" applyBorder="1" applyAlignment="1">
      <alignment horizontal="center" vertical="center" wrapText="1"/>
    </xf>
    <xf numFmtId="0" fontId="27" fillId="0" borderId="20" xfId="71" applyFont="1" applyBorder="1" applyAlignment="1">
      <alignment horizontal="center" vertical="center" wrapText="1"/>
    </xf>
    <xf numFmtId="0" fontId="27" fillId="0" borderId="22" xfId="71" applyFont="1" applyBorder="1" applyAlignment="1">
      <alignment horizontal="center" vertical="center" wrapText="1"/>
    </xf>
    <xf numFmtId="0" fontId="27" fillId="0" borderId="0" xfId="71" applyFont="1" applyBorder="1" applyAlignment="1">
      <alignment horizontal="center" vertical="center" wrapText="1"/>
    </xf>
    <xf numFmtId="0" fontId="27" fillId="0" borderId="21" xfId="71" applyFont="1" applyBorder="1" applyAlignment="1">
      <alignment horizontal="center" vertical="center" wrapText="1"/>
    </xf>
    <xf numFmtId="0" fontId="27" fillId="0" borderId="13" xfId="71" applyFont="1" applyBorder="1" applyAlignment="1">
      <alignment horizontal="center" vertical="center" wrapText="1"/>
    </xf>
    <xf numFmtId="0" fontId="70" fillId="33" borderId="22" xfId="56" applyFont="1" applyFill="1" applyBorder="1" applyAlignment="1">
      <alignment horizontal="center" vertical="center"/>
    </xf>
    <xf numFmtId="0" fontId="70" fillId="33" borderId="0" xfId="56" applyFont="1" applyFill="1" applyBorder="1" applyAlignment="1">
      <alignment horizontal="center" vertical="center"/>
    </xf>
    <xf numFmtId="0" fontId="70" fillId="33" borderId="23" xfId="56" applyFont="1" applyFill="1" applyBorder="1" applyAlignment="1">
      <alignment horizontal="center" vertical="center"/>
    </xf>
    <xf numFmtId="0" fontId="72" fillId="36" borderId="22" xfId="71" applyFont="1" applyFill="1" applyBorder="1" applyAlignment="1">
      <alignment horizontal="center" vertical="center"/>
    </xf>
    <xf numFmtId="0" fontId="72" fillId="36" borderId="0" xfId="71" applyFont="1" applyFill="1" applyAlignment="1">
      <alignment horizontal="center" vertical="center"/>
    </xf>
    <xf numFmtId="0" fontId="72" fillId="36" borderId="23" xfId="71" applyFont="1" applyFill="1" applyBorder="1" applyAlignment="1">
      <alignment horizontal="center" vertical="center"/>
    </xf>
    <xf numFmtId="0" fontId="72" fillId="36" borderId="23" xfId="61" applyFont="1" applyFill="1" applyBorder="1" applyAlignment="1">
      <alignment horizontal="center" vertical="center"/>
    </xf>
    <xf numFmtId="0" fontId="72" fillId="36" borderId="24" xfId="61" applyFont="1" applyFill="1" applyBorder="1" applyAlignment="1">
      <alignment horizontal="center" vertical="center"/>
    </xf>
    <xf numFmtId="0" fontId="1" fillId="0" borderId="26" xfId="71" applyBorder="1" applyAlignment="1">
      <alignment horizontal="center" vertical="center" wrapText="1"/>
    </xf>
    <xf numFmtId="0" fontId="39" fillId="38" borderId="27" xfId="57" applyFill="1" applyBorder="1">
      <alignment horizontal="center" vertical="center"/>
    </xf>
    <xf numFmtId="0" fontId="39" fillId="38" borderId="28" xfId="57" applyFill="1" applyBorder="1">
      <alignment horizontal="center" vertical="center"/>
    </xf>
    <xf numFmtId="0" fontId="39" fillId="38" borderId="29" xfId="57" applyFill="1" applyBorder="1">
      <alignment horizontal="center" vertical="center"/>
    </xf>
    <xf numFmtId="0" fontId="72" fillId="39" borderId="21" xfId="71" applyFont="1" applyFill="1" applyBorder="1" applyAlignment="1">
      <alignment horizontal="center" vertical="center" wrapText="1"/>
    </xf>
    <xf numFmtId="0" fontId="72" fillId="39" borderId="13" xfId="71" applyFont="1" applyFill="1" applyBorder="1" applyAlignment="1">
      <alignment horizontal="center" vertical="center" wrapText="1"/>
    </xf>
    <xf numFmtId="0" fontId="72" fillId="39" borderId="24" xfId="71" applyFont="1" applyFill="1" applyBorder="1" applyAlignment="1">
      <alignment horizontal="center" vertical="center" wrapText="1"/>
    </xf>
    <xf numFmtId="0" fontId="1" fillId="0" borderId="19"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22" xfId="0" applyFont="1" applyBorder="1" applyAlignment="1">
      <alignment horizontal="center" vertical="center" wrapText="1"/>
    </xf>
    <xf numFmtId="0" fontId="1" fillId="0" borderId="0" xfId="0" applyFont="1" applyAlignment="1">
      <alignment horizontal="center" vertical="center" wrapText="1"/>
    </xf>
    <xf numFmtId="0" fontId="1" fillId="0" borderId="21" xfId="0" applyFont="1" applyBorder="1" applyAlignment="1">
      <alignment horizontal="center" vertical="center" wrapText="1"/>
    </xf>
    <xf numFmtId="0" fontId="1" fillId="0" borderId="13" xfId="0" applyFont="1" applyBorder="1" applyAlignment="1">
      <alignment horizontal="center" vertical="center" wrapText="1"/>
    </xf>
    <xf numFmtId="0" fontId="39" fillId="0" borderId="16" xfId="56" applyBorder="1" applyAlignment="1">
      <alignment horizontal="center" vertical="center" wrapText="1"/>
    </xf>
    <xf numFmtId="0" fontId="39" fillId="0" borderId="18" xfId="56" applyBorder="1" applyAlignment="1">
      <alignment horizontal="center" vertical="center" wrapText="1"/>
    </xf>
    <xf numFmtId="0" fontId="70" fillId="37" borderId="19" xfId="56" applyFont="1" applyFill="1" applyBorder="1" applyAlignment="1">
      <alignment horizontal="center" vertical="center"/>
    </xf>
    <xf numFmtId="0" fontId="70" fillId="37" borderId="20" xfId="56" applyFont="1" applyFill="1" applyBorder="1" applyAlignment="1">
      <alignment horizontal="center" vertical="center"/>
    </xf>
    <xf numFmtId="0" fontId="70" fillId="37" borderId="25" xfId="56" applyFont="1" applyFill="1" applyBorder="1" applyAlignment="1">
      <alignment horizontal="center" vertical="center"/>
    </xf>
    <xf numFmtId="0" fontId="70" fillId="40" borderId="19" xfId="56" applyFont="1" applyFill="1" applyBorder="1" applyAlignment="1">
      <alignment horizontal="center" vertical="center"/>
    </xf>
    <xf numFmtId="0" fontId="70" fillId="40" borderId="20" xfId="56" applyFont="1" applyFill="1" applyBorder="1" applyAlignment="1">
      <alignment horizontal="center" vertical="center"/>
    </xf>
    <xf numFmtId="0" fontId="70" fillId="40" borderId="25" xfId="56" applyFont="1" applyFill="1" applyBorder="1" applyAlignment="1">
      <alignment horizontal="center" vertical="center"/>
    </xf>
    <xf numFmtId="0" fontId="39" fillId="41" borderId="27" xfId="57" applyFill="1" applyBorder="1">
      <alignment horizontal="center" vertical="center"/>
    </xf>
    <xf numFmtId="0" fontId="39" fillId="41" borderId="28" xfId="57" applyFill="1" applyBorder="1">
      <alignment horizontal="center" vertical="center"/>
    </xf>
    <xf numFmtId="0" fontId="39" fillId="41" borderId="29" xfId="57" applyFill="1" applyBorder="1">
      <alignment horizontal="center" vertical="center"/>
    </xf>
    <xf numFmtId="0" fontId="72" fillId="42" borderId="26" xfId="57" applyFont="1" applyFill="1" applyBorder="1">
      <alignment horizontal="center" vertical="center"/>
    </xf>
    <xf numFmtId="0" fontId="72" fillId="42" borderId="26" xfId="71" applyFont="1" applyFill="1" applyBorder="1" applyAlignment="1">
      <alignment horizontal="center" vertical="center"/>
    </xf>
    <xf numFmtId="0" fontId="72" fillId="43" borderId="21" xfId="71" applyFont="1" applyFill="1" applyBorder="1" applyAlignment="1">
      <alignment horizontal="center" vertical="center" wrapText="1"/>
    </xf>
    <xf numFmtId="0" fontId="72" fillId="43" borderId="13" xfId="71" applyFont="1" applyFill="1" applyBorder="1" applyAlignment="1">
      <alignment horizontal="center" vertical="center" wrapText="1"/>
    </xf>
    <xf numFmtId="0" fontId="72" fillId="43" borderId="24" xfId="71" applyFont="1" applyFill="1" applyBorder="1" applyAlignment="1">
      <alignment horizontal="center" vertical="center" wrapText="1"/>
    </xf>
    <xf numFmtId="0" fontId="70" fillId="44" borderId="22" xfId="56" applyFont="1" applyFill="1" applyBorder="1" applyAlignment="1">
      <alignment horizontal="center" vertical="center"/>
    </xf>
    <xf numFmtId="0" fontId="70" fillId="44" borderId="0" xfId="56" applyFont="1" applyFill="1" applyBorder="1" applyAlignment="1">
      <alignment horizontal="center" vertical="center"/>
    </xf>
    <xf numFmtId="0" fontId="39" fillId="46" borderId="27" xfId="57" applyFill="1" applyBorder="1">
      <alignment horizontal="center" vertical="center"/>
    </xf>
    <xf numFmtId="0" fontId="39" fillId="46" borderId="28" xfId="57" applyFill="1" applyBorder="1">
      <alignment horizontal="center" vertical="center"/>
    </xf>
    <xf numFmtId="0" fontId="39" fillId="46" borderId="29" xfId="57" applyFill="1" applyBorder="1">
      <alignment horizontal="center" vertical="center"/>
    </xf>
    <xf numFmtId="0" fontId="1" fillId="0" borderId="18" xfId="0" applyFont="1" applyBorder="1" applyAlignment="1">
      <alignment horizontal="center" vertical="center" wrapText="1"/>
    </xf>
    <xf numFmtId="0" fontId="72" fillId="36" borderId="25" xfId="71" applyFont="1" applyFill="1" applyBorder="1" applyAlignment="1">
      <alignment horizontal="center" vertical="center"/>
    </xf>
    <xf numFmtId="0" fontId="39" fillId="0" borderId="26" xfId="56" applyBorder="1" applyAlignment="1">
      <alignment horizontal="center" vertical="center"/>
    </xf>
    <xf numFmtId="0" fontId="74" fillId="0" borderId="27" xfId="56" applyFont="1" applyBorder="1" applyAlignment="1">
      <alignment horizontal="center" vertical="center"/>
    </xf>
    <xf numFmtId="0" fontId="74" fillId="0" borderId="28" xfId="56" applyFont="1" applyBorder="1" applyAlignment="1">
      <alignment horizontal="center" vertical="center"/>
    </xf>
    <xf numFmtId="0" fontId="74" fillId="0" borderId="29" xfId="56" applyFont="1" applyBorder="1" applyAlignment="1">
      <alignment horizontal="center" vertical="center"/>
    </xf>
    <xf numFmtId="0" fontId="72" fillId="45" borderId="22" xfId="71" applyFont="1" applyFill="1" applyBorder="1" applyAlignment="1">
      <alignment horizontal="center" vertical="center" wrapText="1"/>
    </xf>
    <xf numFmtId="0" fontId="72" fillId="45" borderId="0" xfId="71" applyFont="1" applyFill="1" applyAlignment="1">
      <alignment horizontal="center" vertical="center" wrapText="1"/>
    </xf>
    <xf numFmtId="0" fontId="72" fillId="45" borderId="21" xfId="71" applyFont="1" applyFill="1" applyBorder="1" applyAlignment="1">
      <alignment horizontal="center" vertical="center" wrapText="1"/>
    </xf>
    <xf numFmtId="0" fontId="72" fillId="45" borderId="13" xfId="71" applyFont="1" applyFill="1" applyBorder="1" applyAlignment="1">
      <alignment horizontal="center" vertical="center" wrapText="1"/>
    </xf>
    <xf numFmtId="0" fontId="18" fillId="47" borderId="27" xfId="57" applyFont="1" applyFill="1" applyBorder="1">
      <alignment horizontal="center" vertical="center"/>
    </xf>
    <xf numFmtId="0" fontId="18" fillId="47" borderId="28" xfId="57" applyFont="1" applyFill="1" applyBorder="1">
      <alignment horizontal="center" vertical="center"/>
    </xf>
    <xf numFmtId="0" fontId="18" fillId="47" borderId="29" xfId="57" applyFont="1" applyFill="1" applyBorder="1">
      <alignment horizontal="center" vertical="center"/>
    </xf>
    <xf numFmtId="0" fontId="72" fillId="47" borderId="27" xfId="57" applyFont="1" applyFill="1" applyBorder="1">
      <alignment horizontal="center" vertical="center"/>
    </xf>
    <xf numFmtId="0" fontId="72" fillId="47" borderId="28" xfId="57" applyFont="1" applyFill="1" applyBorder="1">
      <alignment horizontal="center" vertical="center"/>
    </xf>
    <xf numFmtId="0" fontId="72" fillId="47" borderId="29" xfId="57" applyFont="1" applyFill="1" applyBorder="1">
      <alignment horizontal="center" vertical="center"/>
    </xf>
    <xf numFmtId="0" fontId="39" fillId="46" borderId="26" xfId="57" applyFill="1" applyBorder="1">
      <alignment horizontal="center" vertical="center"/>
    </xf>
    <xf numFmtId="0" fontId="39" fillId="0" borderId="19" xfId="56" applyBorder="1" applyAlignment="1">
      <alignment horizontal="center" vertical="center"/>
    </xf>
    <xf numFmtId="0" fontId="39" fillId="0" borderId="22" xfId="56" applyBorder="1" applyAlignment="1">
      <alignment horizontal="center" vertical="center"/>
    </xf>
    <xf numFmtId="0" fontId="39" fillId="0" borderId="21" xfId="56" applyBorder="1" applyAlignment="1">
      <alignment horizontal="center" vertical="center"/>
    </xf>
    <xf numFmtId="0" fontId="1" fillId="19" borderId="19" xfId="71" applyFill="1" applyBorder="1" applyAlignment="1">
      <alignment horizontal="center" vertical="center" wrapText="1"/>
    </xf>
    <xf numFmtId="0" fontId="1" fillId="19" borderId="20" xfId="71" applyFill="1" applyBorder="1" applyAlignment="1">
      <alignment horizontal="center" vertical="center" wrapText="1"/>
    </xf>
    <xf numFmtId="0" fontId="1" fillId="19" borderId="22" xfId="71" applyFill="1" applyBorder="1" applyAlignment="1">
      <alignment horizontal="center" vertical="center" wrapText="1"/>
    </xf>
    <xf numFmtId="0" fontId="1" fillId="19" borderId="0" xfId="71" applyFill="1" applyAlignment="1">
      <alignment horizontal="center" vertical="center" wrapText="1"/>
    </xf>
    <xf numFmtId="0" fontId="1" fillId="19" borderId="21" xfId="71" applyFill="1" applyBorder="1" applyAlignment="1">
      <alignment horizontal="center" vertical="center" wrapText="1"/>
    </xf>
    <xf numFmtId="0" fontId="1" fillId="19" borderId="13" xfId="71" applyFill="1" applyBorder="1" applyAlignment="1">
      <alignment horizontal="center" vertical="center" wrapText="1"/>
    </xf>
    <xf numFmtId="0" fontId="72" fillId="51" borderId="27" xfId="57" applyFont="1" applyFill="1" applyBorder="1">
      <alignment horizontal="center" vertical="center"/>
    </xf>
    <xf numFmtId="0" fontId="72" fillId="51" borderId="28" xfId="57" applyFont="1" applyFill="1" applyBorder="1">
      <alignment horizontal="center" vertical="center"/>
    </xf>
    <xf numFmtId="0" fontId="72" fillId="51" borderId="29" xfId="57" applyFont="1" applyFill="1" applyBorder="1">
      <alignment horizontal="center" vertical="center"/>
    </xf>
    <xf numFmtId="0" fontId="39" fillId="50" borderId="28" xfId="57" applyFill="1" applyBorder="1">
      <alignment horizontal="center" vertical="center"/>
    </xf>
    <xf numFmtId="0" fontId="39" fillId="50" borderId="29" xfId="57" applyFill="1" applyBorder="1">
      <alignment horizontal="center" vertical="center"/>
    </xf>
    <xf numFmtId="0" fontId="39" fillId="50" borderId="26" xfId="57" applyFill="1" applyBorder="1">
      <alignment horizontal="center" vertical="center"/>
    </xf>
    <xf numFmtId="0" fontId="39" fillId="50" borderId="27" xfId="57" applyFill="1" applyBorder="1">
      <alignment horizontal="center" vertical="center"/>
    </xf>
    <xf numFmtId="0" fontId="70" fillId="48" borderId="22" xfId="56" applyFont="1" applyFill="1" applyBorder="1" applyAlignment="1">
      <alignment horizontal="center" vertical="center"/>
    </xf>
    <xf numFmtId="0" fontId="70" fillId="48" borderId="0" xfId="56" applyFont="1" applyFill="1" applyBorder="1" applyAlignment="1">
      <alignment horizontal="center" vertical="center"/>
    </xf>
    <xf numFmtId="0" fontId="75" fillId="0" borderId="27" xfId="56" applyFont="1" applyBorder="1" applyAlignment="1">
      <alignment horizontal="center" vertical="center"/>
    </xf>
    <xf numFmtId="0" fontId="75" fillId="0" borderId="28" xfId="56" applyFont="1" applyBorder="1" applyAlignment="1">
      <alignment horizontal="center" vertical="center"/>
    </xf>
    <xf numFmtId="0" fontId="75" fillId="0" borderId="29" xfId="56" applyFont="1" applyBorder="1" applyAlignment="1">
      <alignment horizontal="center" vertical="center"/>
    </xf>
    <xf numFmtId="0" fontId="72" fillId="49" borderId="22" xfId="71" applyFont="1" applyFill="1" applyBorder="1" applyAlignment="1">
      <alignment horizontal="center" vertical="center" wrapText="1"/>
    </xf>
    <xf numFmtId="0" fontId="72" fillId="49" borderId="0" xfId="71" applyFont="1" applyFill="1" applyAlignment="1">
      <alignment horizontal="center" vertical="center" wrapText="1"/>
    </xf>
    <xf numFmtId="0" fontId="72" fillId="49" borderId="21" xfId="71" applyFont="1" applyFill="1" applyBorder="1" applyAlignment="1">
      <alignment horizontal="center" vertical="center" wrapText="1"/>
    </xf>
    <xf numFmtId="0" fontId="72" fillId="49" borderId="13" xfId="71" applyFont="1" applyFill="1" applyBorder="1" applyAlignment="1">
      <alignment horizontal="center" vertical="center" wrapText="1"/>
    </xf>
    <xf numFmtId="0" fontId="18" fillId="50" borderId="29" xfId="71" applyFont="1" applyFill="1" applyBorder="1" applyAlignment="1">
      <alignment horizontal="center" vertical="center"/>
    </xf>
    <xf numFmtId="0" fontId="18" fillId="50" borderId="26" xfId="71" applyFont="1" applyFill="1" applyBorder="1" applyAlignment="1">
      <alignment horizontal="center" vertical="center"/>
    </xf>
  </cellXfs>
  <cellStyles count="74">
    <cellStyle name="20% - Accent1" xfId="1" builtinId="30" hidden="1" customBuiltin="1"/>
    <cellStyle name="20% - Accent2" xfId="2" builtinId="34" hidden="1" customBuiltin="1"/>
    <cellStyle name="20% - Accent3" xfId="3" builtinId="38" hidden="1" customBuiltin="1"/>
    <cellStyle name="20% - Accent4" xfId="4" builtinId="42" hidden="1" customBuiltin="1"/>
    <cellStyle name="20% - Accent5" xfId="5" builtinId="46" hidden="1" customBuiltin="1"/>
    <cellStyle name="20% - Accent6" xfId="6" builtinId="50" hidden="1" customBuiltin="1"/>
    <cellStyle name="40% - Accent1" xfId="7" builtinId="31" hidden="1" customBuiltin="1"/>
    <cellStyle name="40% - Accent2" xfId="8" builtinId="35" hidden="1" customBuiltin="1"/>
    <cellStyle name="40% - Accent3" xfId="9" builtinId="39" hidden="1" customBuiltin="1"/>
    <cellStyle name="40% - Accent4" xfId="10" builtinId="43" hidden="1" customBuiltin="1"/>
    <cellStyle name="40% - Accent5" xfId="11" builtinId="47" hidden="1" customBuiltin="1"/>
    <cellStyle name="40% - Accent6" xfId="12" builtinId="51" hidden="1" customBuiltin="1"/>
    <cellStyle name="60% - Accent1" xfId="13" builtinId="32" hidden="1" customBuiltin="1"/>
    <cellStyle name="60% - Accent2" xfId="14" builtinId="36" hidden="1" customBuiltin="1"/>
    <cellStyle name="60% - Accent3" xfId="15" builtinId="40" hidden="1" customBuiltin="1"/>
    <cellStyle name="60% - Accent4" xfId="16" builtinId="44" hidden="1" customBuiltin="1"/>
    <cellStyle name="60% - Accent5" xfId="17" builtinId="48" hidden="1" customBuiltin="1"/>
    <cellStyle name="60% - Accent6" xfId="18" builtinId="52" hidden="1" customBuiltin="1"/>
    <cellStyle name="Accent1" xfId="19" builtinId="29" hidden="1" customBuiltin="1"/>
    <cellStyle name="Accent2" xfId="20" builtinId="33" hidden="1" customBuiltin="1"/>
    <cellStyle name="Accent3" xfId="21" builtinId="37" hidden="1" customBuiltin="1"/>
    <cellStyle name="Accent4" xfId="22" builtinId="41" hidden="1" customBuiltin="1"/>
    <cellStyle name="Accent5" xfId="23" builtinId="45" hidden="1" customBuiltin="1"/>
    <cellStyle name="Accent6" xfId="24" builtinId="49" hidden="1" customBuiltin="1"/>
    <cellStyle name="Bad" xfId="25" builtinId="27" hidden="1" customBuiltin="1"/>
    <cellStyle name="Binary Flag" xfId="50" xr:uid="{00000000-0005-0000-0000-000019000000}"/>
    <cellStyle name="Calculation" xfId="26" builtinId="22" hidden="1" customBuiltin="1"/>
    <cellStyle name="Check Cell" xfId="27" builtinId="23" hidden="1" customBuiltin="1"/>
    <cellStyle name="Code_Output" xfId="59" xr:uid="{00000000-0005-0000-0000-00001C000000}"/>
    <cellStyle name="Comma" xfId="43" builtinId="3" hidden="1"/>
    <cellStyle name="Comma" xfId="60" builtinId="3"/>
    <cellStyle name="Comma [0]" xfId="44" builtinId="6" hidden="1"/>
    <cellStyle name="Currency" xfId="45" hidden="1" xr:uid="{00000000-0005-0000-0000-000020000000}"/>
    <cellStyle name="Currency [0]" xfId="46" builtinId="7" hidden="1"/>
    <cellStyle name="Dropdown" xfId="68" xr:uid="{00000000-0005-0000-0000-000022000000}"/>
    <cellStyle name="DropdownLight" xfId="69" xr:uid="{00000000-0005-0000-0000-000023000000}"/>
    <cellStyle name="Empty_Cell" xfId="52" xr:uid="{00000000-0005-0000-0000-000024000000}"/>
    <cellStyle name="Explanatory Text" xfId="28" builtinId="53" hidden="1" customBuiltin="1"/>
    <cellStyle name="Followed Hyperlink" xfId="66" builtinId="9" customBuiltin="1"/>
    <cellStyle name="Formula" xfId="54" xr:uid="{00000000-0005-0000-0000-000027000000}"/>
    <cellStyle name="Good" xfId="29" builtinId="26" hidden="1" customBuiltin="1"/>
    <cellStyle name="Heading 1" xfId="30" builtinId="16" hidden="1" customBuiltin="1"/>
    <cellStyle name="Heading 2" xfId="31" builtinId="17" hidden="1" customBuiltin="1"/>
    <cellStyle name="Heading 3" xfId="32" builtinId="18" hidden="1" customBuiltin="1"/>
    <cellStyle name="Heading 4" xfId="33" builtinId="19" hidden="1" customBuiltin="1"/>
    <cellStyle name="Hyperlink" xfId="42" builtinId="8" hidden="1"/>
    <cellStyle name="Hyperlink" xfId="65" builtinId="8" customBuiltin="1"/>
    <cellStyle name="Input" xfId="34" builtinId="20" hidden="1" customBuiltin="1"/>
    <cellStyle name="Input" xfId="67" builtinId="20" customBuiltin="1"/>
    <cellStyle name="Input 2" xfId="73" xr:uid="{00000000-0005-0000-0000-000031000000}"/>
    <cellStyle name="InputLight" xfId="64" xr:uid="{00000000-0005-0000-0000-000032000000}"/>
    <cellStyle name="Line_Summary" xfId="53" xr:uid="{00000000-0005-0000-0000-000033000000}"/>
    <cellStyle name="Linked Cell" xfId="35" builtinId="24" hidden="1" customBuiltin="1"/>
    <cellStyle name="Neutral" xfId="36" builtinId="28" hidden="1" customBuiltin="1"/>
    <cellStyle name="Normal" xfId="0" builtinId="0"/>
    <cellStyle name="Normal 2" xfId="70" xr:uid="{00000000-0005-0000-0000-000037000000}"/>
    <cellStyle name="Note" xfId="37" builtinId="10" hidden="1" customBuiltin="1"/>
    <cellStyle name="Notes" xfId="61" xr:uid="{00000000-0005-0000-0000-000039000000}"/>
    <cellStyle name="Output" xfId="38" builtinId="21" hidden="1" customBuiltin="1"/>
    <cellStyle name="Percent" xfId="47" builtinId="5" hidden="1"/>
    <cellStyle name="Percent" xfId="62" builtinId="5" hidden="1"/>
    <cellStyle name="Percent" xfId="63" builtinId="5" customBuiltin="1"/>
    <cellStyle name="Sheet Header" xfId="48" xr:uid="{00000000-0005-0000-0000-00003E000000}"/>
    <cellStyle name="Table Header" xfId="49" xr:uid="{00000000-0005-0000-0000-00003F000000}"/>
    <cellStyle name="Table Header 2" xfId="56" xr:uid="{00000000-0005-0000-0000-000040000000}"/>
    <cellStyle name="Table Header 3" xfId="57" xr:uid="{00000000-0005-0000-0000-000041000000}"/>
    <cellStyle name="Technical_Input" xfId="51" xr:uid="{00000000-0005-0000-0000-000042000000}"/>
    <cellStyle name="Title" xfId="39" builtinId="15" hidden="1" customBuiltin="1"/>
    <cellStyle name="Total" xfId="40" builtinId="25" hidden="1" customBuiltin="1"/>
    <cellStyle name="Total_Column" xfId="58" xr:uid="{00000000-0005-0000-0000-000045000000}"/>
    <cellStyle name="Total_Column 2" xfId="72" xr:uid="{00000000-0005-0000-0000-000046000000}"/>
    <cellStyle name="unit" xfId="55" xr:uid="{00000000-0005-0000-0000-000047000000}"/>
    <cellStyle name="Warning Text" xfId="41" builtinId="11" hidden="1" customBuiltin="1"/>
    <cellStyle name="常规 2" xfId="71" xr:uid="{00000000-0005-0000-0000-000049000000}"/>
  </cellStyles>
  <dxfs count="181">
    <dxf>
      <font>
        <b/>
        <i val="0"/>
      </font>
      <fill>
        <patternFill>
          <bgColor theme="8"/>
        </patternFill>
      </fill>
    </dxf>
    <dxf>
      <font>
        <b/>
        <i val="0"/>
      </font>
      <fill>
        <patternFill>
          <bgColor theme="9"/>
        </patternFill>
      </fill>
    </dxf>
    <dxf>
      <font>
        <b val="0"/>
        <i val="0"/>
      </font>
      <fill>
        <patternFill patternType="none">
          <bgColor auto="1"/>
        </patternFill>
      </fill>
    </dxf>
    <dxf>
      <font>
        <b/>
        <i val="0"/>
      </font>
      <fill>
        <patternFill>
          <bgColor theme="8"/>
        </patternFill>
      </fill>
    </dxf>
    <dxf>
      <font>
        <b/>
        <i val="0"/>
      </font>
      <fill>
        <patternFill>
          <bgColor theme="9"/>
        </patternFill>
      </fill>
    </dxf>
    <dxf>
      <font>
        <b val="0"/>
        <i val="0"/>
      </font>
      <fill>
        <patternFill patternType="none">
          <bgColor auto="1"/>
        </patternFill>
      </fill>
    </dxf>
    <dxf>
      <font>
        <b/>
        <i val="0"/>
      </font>
      <fill>
        <patternFill>
          <bgColor theme="8"/>
        </patternFill>
      </fill>
    </dxf>
    <dxf>
      <font>
        <b/>
        <i val="0"/>
      </font>
      <fill>
        <patternFill>
          <bgColor theme="9"/>
        </patternFill>
      </fill>
    </dxf>
    <dxf>
      <font>
        <b val="0"/>
        <i val="0"/>
      </font>
      <fill>
        <patternFill patternType="none">
          <bgColor auto="1"/>
        </patternFill>
      </fill>
    </dxf>
    <dxf>
      <font>
        <b/>
        <i val="0"/>
      </font>
      <fill>
        <patternFill>
          <bgColor theme="8"/>
        </patternFill>
      </fill>
    </dxf>
    <dxf>
      <font>
        <b/>
        <i val="0"/>
      </font>
      <fill>
        <patternFill>
          <bgColor theme="9"/>
        </patternFill>
      </fill>
    </dxf>
    <dxf>
      <font>
        <b val="0"/>
        <i val="0"/>
      </font>
      <fill>
        <patternFill patternType="none">
          <bgColor auto="1"/>
        </patternFill>
      </fill>
    </dxf>
    <dxf>
      <font>
        <b/>
        <i val="0"/>
      </font>
      <fill>
        <patternFill>
          <bgColor theme="8"/>
        </patternFill>
      </fill>
    </dxf>
    <dxf>
      <font>
        <b/>
        <i val="0"/>
      </font>
      <fill>
        <patternFill>
          <bgColor theme="9"/>
        </patternFill>
      </fill>
    </dxf>
    <dxf>
      <font>
        <b val="0"/>
        <i val="0"/>
      </font>
      <fill>
        <patternFill patternType="none">
          <bgColor auto="1"/>
        </patternFill>
      </fill>
    </dxf>
    <dxf>
      <fill>
        <patternFill>
          <bgColor rgb="FFFFFFFF"/>
        </patternFill>
      </fill>
    </dxf>
    <dxf>
      <fill>
        <patternFill>
          <bgColor rgb="FFFFFFFF"/>
        </patternFill>
      </fill>
    </dxf>
    <dxf>
      <fill>
        <patternFill>
          <bgColor theme="7" tint="0.39994506668294322"/>
        </patternFill>
      </fill>
    </dxf>
    <dxf>
      <fill>
        <patternFill>
          <bgColor rgb="FFF9F9F9"/>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ill>
        <patternFill>
          <bgColor rgb="FFF1F1F1"/>
        </patternFill>
      </fill>
    </dxf>
    <dxf>
      <fill>
        <patternFill>
          <bgColor rgb="FFFFFFFF"/>
        </patternFill>
      </fill>
    </dxf>
    <dxf>
      <font>
        <b/>
        <i val="0"/>
      </font>
      <fill>
        <patternFill>
          <bgColor theme="9"/>
        </patternFill>
      </fill>
    </dxf>
    <dxf>
      <font>
        <b/>
        <i val="0"/>
      </font>
      <fill>
        <patternFill>
          <bgColor theme="8"/>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ont>
        <color theme="0" tint="-0.24994659260841701"/>
      </font>
      <numFmt numFmtId="0" formatCode="General"/>
    </dxf>
    <dxf>
      <fill>
        <patternFill>
          <bgColor rgb="FFF9F9F9"/>
        </patternFill>
      </fill>
    </dxf>
    <dxf>
      <fill>
        <patternFill>
          <bgColor rgb="FFF9F9F9"/>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9F9F9"/>
        </patternFill>
      </fill>
    </dxf>
    <dxf>
      <fill>
        <patternFill>
          <bgColor rgb="FFF9F9F9"/>
        </patternFill>
      </fill>
    </dxf>
    <dxf>
      <numFmt numFmtId="14" formatCode="0.00%"/>
    </dxf>
    <dxf>
      <font>
        <color theme="0" tint="-0.24994659260841701"/>
      </font>
      <numFmt numFmtId="0" formatCode="General"/>
    </dxf>
    <dxf>
      <numFmt numFmtId="14" formatCode="0.00%"/>
    </dxf>
    <dxf>
      <font>
        <color theme="0" tint="-0.24994659260841701"/>
      </font>
      <numFmt numFmtId="0" formatCode="General"/>
    </dxf>
    <dxf>
      <numFmt numFmtId="14" formatCode="0.00%"/>
    </dxf>
    <dxf>
      <font>
        <color theme="0" tint="-0.24994659260841701"/>
      </font>
      <numFmt numFmtId="0" formatCode="General"/>
    </dxf>
    <dxf>
      <fill>
        <patternFill>
          <bgColor rgb="FFFFFFFF"/>
        </patternFill>
      </fill>
    </dxf>
    <dxf>
      <numFmt numFmtId="14" formatCode="0.00%"/>
    </dxf>
    <dxf>
      <font>
        <color theme="0" tint="-0.24994659260841701"/>
      </font>
      <numFmt numFmtId="0" formatCode="General"/>
    </dxf>
    <dxf>
      <fill>
        <patternFill>
          <bgColor rgb="FFF9F9F9"/>
        </patternFill>
      </fill>
    </dxf>
    <dxf>
      <fill>
        <patternFill>
          <bgColor rgb="FFFFFFFF"/>
        </patternFill>
      </fill>
    </dxf>
    <dxf>
      <fill>
        <patternFill>
          <bgColor theme="7" tint="0.39994506668294322"/>
        </patternFill>
      </fill>
    </dxf>
    <dxf>
      <numFmt numFmtId="14" formatCode="0.00%"/>
    </dxf>
    <dxf>
      <font>
        <color theme="0" tint="-0.24994659260841701"/>
      </font>
      <numFmt numFmtId="0" formatCode="General"/>
    </dxf>
    <dxf>
      <fill>
        <patternFill>
          <bgColor rgb="FFF9F9F9"/>
        </patternFill>
      </fill>
    </dxf>
    <dxf>
      <font>
        <b/>
        <i val="0"/>
        <color theme="0"/>
      </font>
      <fill>
        <patternFill>
          <bgColor theme="8"/>
        </patternFill>
      </fill>
    </dxf>
    <dxf>
      <border>
        <left style="thin">
          <color theme="8"/>
        </left>
        <right style="thin">
          <color theme="8"/>
        </right>
        <top style="thin">
          <color theme="8"/>
        </top>
        <bottom style="thin">
          <color theme="8"/>
        </bottom>
        <vertical style="thin">
          <color theme="8"/>
        </vertical>
        <horizontal style="thin">
          <color theme="8"/>
        </horizontal>
      </border>
    </dxf>
    <dxf>
      <fill>
        <patternFill>
          <bgColor theme="0" tint="-0.24994659260841701"/>
        </patternFill>
      </fill>
    </dxf>
    <dxf>
      <font>
        <color auto="1"/>
      </font>
      <border>
        <left style="thin">
          <color theme="0" tint="-0.24994659260841701"/>
        </left>
        <right style="thin">
          <color theme="0" tint="-0.24994659260841701"/>
        </right>
        <top style="thin">
          <color theme="0" tint="-0.24994659260841701"/>
        </top>
        <bottom style="thin">
          <color theme="0" tint="-0.24994659260841701"/>
        </bottom>
        <vertical/>
        <horizontal style="thin">
          <color theme="0" tint="-0.24994659260841701"/>
        </horizontal>
      </border>
    </dxf>
    <dxf>
      <font>
        <b/>
        <i val="0"/>
        <color auto="1"/>
      </font>
      <fill>
        <patternFill>
          <bgColor rgb="FFFDCCA3"/>
        </patternFill>
      </fill>
    </dxf>
    <dxf>
      <border>
        <left style="thin">
          <color rgb="FFFDCCA3"/>
        </left>
        <right style="thin">
          <color rgb="FFFDCCA3"/>
        </right>
        <top style="thin">
          <color rgb="FFFDCCA3"/>
        </top>
        <bottom style="thin">
          <color rgb="FFFDCCA3"/>
        </bottom>
        <vertical style="thin">
          <color rgb="FFFDCCA3"/>
        </vertical>
        <horizontal style="thin">
          <color rgb="FFFDCCA3"/>
        </horizontal>
      </border>
    </dxf>
    <dxf>
      <font>
        <b/>
        <i val="0"/>
        <color theme="0"/>
      </font>
      <fill>
        <patternFill>
          <bgColor rgb="FFEA2839"/>
        </patternFill>
      </fill>
    </dxf>
    <dxf>
      <border>
        <left style="thin">
          <color rgb="FFEA2839"/>
        </left>
        <right style="thin">
          <color rgb="FFEA2839"/>
        </right>
        <top style="thin">
          <color rgb="FFEA2839"/>
        </top>
        <bottom style="thin">
          <color rgb="FFEA2839"/>
        </bottom>
        <vertical/>
        <horizontal style="thin">
          <color rgb="FFEA2839"/>
        </horizontal>
      </border>
    </dxf>
    <dxf>
      <font>
        <b/>
        <i val="0"/>
        <color rgb="FFFFFFFF"/>
      </font>
      <fill>
        <patternFill>
          <bgColor rgb="FFFF6D22"/>
        </patternFill>
      </fill>
    </dxf>
    <dxf>
      <border>
        <left style="thin">
          <color rgb="FFFF6D22"/>
        </left>
        <right style="thin">
          <color rgb="FFFF6D22"/>
        </right>
        <top style="thin">
          <color rgb="FFFF6D22"/>
        </top>
        <bottom style="thin">
          <color rgb="FFFF6D22"/>
        </bottom>
        <vertical/>
        <horizontal style="thin">
          <color rgb="FFFF6D22"/>
        </horizontal>
      </border>
    </dxf>
    <dxf>
      <font>
        <b/>
        <i val="0"/>
        <color theme="0"/>
      </font>
      <fill>
        <patternFill>
          <bgColor rgb="FF00C78B"/>
        </patternFill>
      </fill>
      <border>
        <left style="thin">
          <color rgb="FF00C78B"/>
        </left>
        <right style="thin">
          <color rgb="FF00C78B"/>
        </right>
        <top style="thin">
          <color rgb="FF00C78B"/>
        </top>
        <bottom style="thin">
          <color rgb="FF00C78B"/>
        </bottom>
        <vertical style="thin">
          <color rgb="FF00C78B"/>
        </vertical>
        <horizontal style="thin">
          <color rgb="FF00C78B"/>
        </horizontal>
      </border>
    </dxf>
    <dxf>
      <border>
        <left style="thin">
          <color rgb="FF00C78B"/>
        </left>
        <right style="thin">
          <color rgb="FF00C78B"/>
        </right>
        <top style="thin">
          <color rgb="FF00C78B"/>
        </top>
        <bottom style="thin">
          <color rgb="FF00C78B"/>
        </bottom>
        <horizontal style="thin">
          <color rgb="FF00C78B"/>
        </horizontal>
      </border>
    </dxf>
    <dxf>
      <font>
        <b/>
        <i val="0"/>
        <color theme="0"/>
      </font>
      <fill>
        <patternFill>
          <bgColor rgb="FF00B9E4"/>
        </patternFill>
      </fill>
    </dxf>
    <dxf>
      <border>
        <left style="thin">
          <color rgb="FF00B9E4"/>
        </left>
        <right style="thin">
          <color rgb="FF00B9E4"/>
        </right>
        <top style="thin">
          <color rgb="FF00B9E4"/>
        </top>
        <bottom style="thin">
          <color rgb="FF00B9E4"/>
        </bottom>
      </border>
    </dxf>
  </dxfs>
  <tableStyles count="7" defaultTableStyle="TableStyleMedium2" defaultPivotStyle="PivotStyleLight16">
    <tableStyle name="BNEF " pivot="0" count="2" xr9:uid="{00000000-0011-0000-FFFF-FFFF00000000}">
      <tableStyleElement type="wholeTable" dxfId="180"/>
      <tableStyleElement type="headerRow" dxfId="179"/>
    </tableStyle>
    <tableStyle name="BNEF 1" pivot="0" count="2" xr9:uid="{00000000-0011-0000-FFFF-FFFF01000000}">
      <tableStyleElement type="wholeTable" dxfId="178"/>
      <tableStyleElement type="headerRow" dxfId="177"/>
    </tableStyle>
    <tableStyle name="BNEF 2" pivot="0" count="2" xr9:uid="{00000000-0011-0000-FFFF-FFFF02000000}">
      <tableStyleElement type="wholeTable" dxfId="176"/>
      <tableStyleElement type="headerRow" dxfId="175"/>
    </tableStyle>
    <tableStyle name="BNEF 3" pivot="0" count="2" xr9:uid="{00000000-0011-0000-FFFF-FFFF03000000}">
      <tableStyleElement type="wholeTable" dxfId="174"/>
      <tableStyleElement type="headerRow" dxfId="173"/>
    </tableStyle>
    <tableStyle name="BNEF 4" pivot="0" count="2" xr9:uid="{00000000-0011-0000-FFFF-FFFF04000000}">
      <tableStyleElement type="wholeTable" dxfId="172"/>
      <tableStyleElement type="headerRow" dxfId="171"/>
    </tableStyle>
    <tableStyle name="BNEF 5" pivot="0" count="2" xr9:uid="{00000000-0011-0000-FFFF-FFFF05000000}">
      <tableStyleElement type="wholeTable" dxfId="170"/>
      <tableStyleElement type="headerRow" dxfId="169"/>
    </tableStyle>
    <tableStyle name="DATA SPREADSHEET" pivot="0" count="2" xr9:uid="{00000000-0011-0000-FFFF-FFFF06000000}">
      <tableStyleElement type="wholeTable" dxfId="168"/>
      <tableStyleElement type="headerRow" dxfId="167"/>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725492"/>
      <rgbColor rgb="006F75B4"/>
      <rgbColor rgb="00BCA6D0"/>
      <rgbColor rgb="002F8FCC"/>
      <rgbColor rgb="0000B9E4"/>
      <rgbColor rgb="0084D1EC"/>
      <rgbColor rgb="00008060"/>
      <rgbColor rgb="0000C78B"/>
      <rgbColor rgb="0099D4BF"/>
      <rgbColor rgb="00EA2839"/>
      <rgbColor rgb="00FF6D22"/>
      <rgbColor rgb="00FDCCA3"/>
      <rgbColor rgb="00000000"/>
      <rgbColor rgb="00FFFFFF"/>
      <rgbColor rgb="00FFFFFF"/>
      <rgbColor rgb="00FFFF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D17F"/>
      <color rgb="FF6D6E71"/>
      <color rgb="FF808080"/>
      <color rgb="FF023AAA"/>
      <color rgb="FF106E32"/>
      <color rgb="FFCC9900"/>
      <color rgb="FFB3B3B3"/>
      <color rgb="FFBD5CA3"/>
      <color rgb="FFD2D2D2"/>
      <color rgb="FF4141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'Ranking - OLD'!$R$3</c:f>
          <c:strCache>
            <c:ptCount val="1"/>
            <c:pt idx="0">
              <c:v>Country performance - Mexico 2023 vs South Korea 2023</c:v>
            </c:pt>
          </c:strCache>
        </c:strRef>
      </c:tx>
      <c:layout>
        <c:manualLayout>
          <c:xMode val="edge"/>
          <c:yMode val="edge"/>
          <c:x val="6.6689261052281686E-4"/>
          <c:y val="9.5505890978083013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rgbClr val="00000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28677587154581574"/>
          <c:y val="0.22163817764276458"/>
          <c:w val="0.46235150504659539"/>
          <c:h val="0.75217239739288921"/>
        </c:manualLayout>
      </c:layout>
      <c:radarChart>
        <c:radarStyle val="marker"/>
        <c:varyColors val="0"/>
        <c:ser>
          <c:idx val="0"/>
          <c:order val="0"/>
          <c:tx>
            <c:strRef>
              <c:f>'Ranking - OLD'!$C$31:$C$32</c:f>
              <c:strCache>
                <c:ptCount val="2"/>
                <c:pt idx="0">
                  <c:v>Mexico</c:v>
                </c:pt>
                <c:pt idx="1">
                  <c:v>2023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'Ranking - OLD'!$B$34:$B$38</c:f>
              <c:strCache>
                <c:ptCount val="5"/>
                <c:pt idx="0">
                  <c:v>Raw materials</c:v>
                </c:pt>
                <c:pt idx="1">
                  <c:v>Battery manufacturing</c:v>
                </c:pt>
                <c:pt idx="2">
                  <c:v>ESG</c:v>
                </c:pt>
                <c:pt idx="3">
                  <c:v>III</c:v>
                </c:pt>
                <c:pt idx="4">
                  <c:v>Battery demand</c:v>
                </c:pt>
              </c:strCache>
            </c:strRef>
          </c:cat>
          <c:val>
            <c:numRef>
              <c:f>'Ranking - OLD'!$D$34:$D$38</c:f>
              <c:numCache>
                <c:formatCode>#,##0.00_);\(#,##0.00\)</c:formatCode>
                <c:ptCount val="5"/>
                <c:pt idx="0">
                  <c:v>8</c:v>
                </c:pt>
                <c:pt idx="1">
                  <c:v>15</c:v>
                </c:pt>
                <c:pt idx="2">
                  <c:v>24</c:v>
                </c:pt>
                <c:pt idx="3">
                  <c:v>23</c:v>
                </c:pt>
                <c:pt idx="4">
                  <c:v>19</c:v>
                </c:pt>
              </c:numCache>
            </c:numRef>
          </c:val>
          <c:extLst>
            <c:ext xmlns:c16="http://schemas.microsoft.com/office/drawing/2014/chart" uri="{C3380CC4-5D6E-409C-BE32-E72D297353CC}">
              <c16:uniqueId val="{00000000-E4D6-4445-9FC0-4DB1CF7FF9E3}"/>
            </c:ext>
          </c:extLst>
        </c:ser>
        <c:ser>
          <c:idx val="1"/>
          <c:order val="1"/>
          <c:tx>
            <c:strRef>
              <c:f>'Ranking - OLD'!$E$31:$E$32</c:f>
              <c:strCache>
                <c:ptCount val="2"/>
                <c:pt idx="0">
                  <c:v>South Korea</c:v>
                </c:pt>
                <c:pt idx="1">
                  <c:v>2023</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'Ranking - OLD'!$B$34:$B$38</c:f>
              <c:strCache>
                <c:ptCount val="5"/>
                <c:pt idx="0">
                  <c:v>Raw materials</c:v>
                </c:pt>
                <c:pt idx="1">
                  <c:v>Battery manufacturing</c:v>
                </c:pt>
                <c:pt idx="2">
                  <c:v>ESG</c:v>
                </c:pt>
                <c:pt idx="3">
                  <c:v>III</c:v>
                </c:pt>
                <c:pt idx="4">
                  <c:v>Battery demand</c:v>
                </c:pt>
              </c:strCache>
            </c:strRef>
          </c:cat>
          <c:val>
            <c:numRef>
              <c:f>'Ranking - OLD'!$F$34:$F$38</c:f>
              <c:numCache>
                <c:formatCode>#,##0.00_);\(#,##0.00\)</c:formatCode>
                <c:ptCount val="5"/>
                <c:pt idx="0">
                  <c:v>15</c:v>
                </c:pt>
                <c:pt idx="1">
                  <c:v>2</c:v>
                </c:pt>
                <c:pt idx="2">
                  <c:v>16</c:v>
                </c:pt>
                <c:pt idx="3">
                  <c:v>4</c:v>
                </c:pt>
                <c:pt idx="4">
                  <c:v>5</c:v>
                </c:pt>
              </c:numCache>
            </c:numRef>
          </c:val>
          <c:extLst>
            <c:ext xmlns:c16="http://schemas.microsoft.com/office/drawing/2014/chart" uri="{C3380CC4-5D6E-409C-BE32-E72D297353CC}">
              <c16:uniqueId val="{00000002-E4D6-4445-9FC0-4DB1CF7FF9E3}"/>
            </c:ext>
          </c:extLst>
        </c:ser>
        <c:dLbls>
          <c:showLegendKey val="0"/>
          <c:showVal val="0"/>
          <c:showCatName val="0"/>
          <c:showSerName val="0"/>
          <c:showPercent val="0"/>
          <c:showBubbleSize val="0"/>
        </c:dLbls>
        <c:axId val="930272752"/>
        <c:axId val="868792176"/>
      </c:radarChart>
      <c:catAx>
        <c:axId val="93027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mn-ea"/>
                <a:cs typeface="Arial" panose="020B0604020202020204" pitchFamily="34" charset="0"/>
              </a:defRPr>
            </a:pPr>
            <a:endParaRPr lang="en-US"/>
          </a:p>
        </c:txPr>
        <c:crossAx val="868792176"/>
        <c:crosses val="autoZero"/>
        <c:auto val="1"/>
        <c:lblAlgn val="ctr"/>
        <c:lblOffset val="100"/>
        <c:noMultiLvlLbl val="0"/>
      </c:catAx>
      <c:valAx>
        <c:axId val="868792176"/>
        <c:scaling>
          <c:orientation val="maxMin"/>
        </c:scaling>
        <c:delete val="1"/>
        <c:axPos val="l"/>
        <c:majorGridlines>
          <c:spPr>
            <a:ln w="3175" cap="flat" cmpd="sng" algn="ctr">
              <a:solidFill>
                <a:srgbClr val="C0C0C0"/>
              </a:solidFill>
              <a:prstDash val="sysDash"/>
              <a:round/>
              <a:headEnd type="none" w="med" len="med"/>
              <a:tailEnd type="none" w="med" len="med"/>
            </a:ln>
            <a:effectLst/>
          </c:spPr>
        </c:majorGridlines>
        <c:numFmt formatCode="#,##0.00_);\(#,##0.00\)" sourceLinked="1"/>
        <c:majorTickMark val="none"/>
        <c:minorTickMark val="none"/>
        <c:tickLblPos val="nextTo"/>
        <c:crossAx val="930272752"/>
        <c:crosses val="autoZero"/>
        <c:crossBetween val="between"/>
      </c:valAx>
      <c:spPr>
        <a:solidFill>
          <a:srgbClr val="FFFFFF">
            <a:lumMod val="100000"/>
            <a:alpha val="0"/>
          </a:srgbClr>
        </a:solidFill>
        <a:ln>
          <a:noFill/>
        </a:ln>
        <a:effectLst/>
      </c:spPr>
    </c:plotArea>
    <c:legend>
      <c:legendPos val="r"/>
      <c:layout>
        <c:manualLayout>
          <c:xMode val="edge"/>
          <c:yMode val="edge"/>
          <c:x val="0.24474001038204427"/>
          <c:y val="0.86508026202285193"/>
          <c:w val="0.54807566603074975"/>
          <c:h val="0.12636436855439664"/>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lumMod val="100000"/>
        <a:alpha val="0"/>
      </a:srgbClr>
    </a:solidFill>
    <a:ln w="25400" cap="flat" cmpd="sng" algn="ctr">
      <a:noFill/>
      <a:round/>
    </a:ln>
    <a:effectLst/>
  </c:spPr>
  <c:txPr>
    <a:bodyPr/>
    <a:lstStyle/>
    <a:p>
      <a:pPr>
        <a:defRPr sz="1200">
          <a:solidFill>
            <a:srgbClr val="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Metrics!$C$13</c:f>
          <c:strCache>
            <c:ptCount val="1"/>
            <c:pt idx="0">
              <c:v>Thousand metric tons lithium carbonate equivalent</c:v>
            </c:pt>
          </c:strCache>
        </c:strRef>
      </c:tx>
      <c:layout>
        <c:manualLayout>
          <c:xMode val="edge"/>
          <c:yMode val="edge"/>
          <c:x val="1.2875101378751013E-2"/>
          <c:y val="1.2499147039834553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0963761336763597"/>
          <c:y val="9.5479528473574937E-2"/>
          <c:w val="0.84656297913255896"/>
          <c:h val="0.86650132148115633"/>
        </c:manualLayout>
      </c:layout>
      <c:barChart>
        <c:barDir val="bar"/>
        <c:grouping val="clustered"/>
        <c:varyColors val="0"/>
        <c:ser>
          <c:idx val="1"/>
          <c:order val="0"/>
          <c:tx>
            <c:strRef>
              <c:f>RawData!$O$193</c:f>
              <c:strCache>
                <c:ptCount val="1"/>
              </c:strCache>
            </c:strRef>
          </c:tx>
          <c:spPr>
            <a:solidFill>
              <a:schemeClr val="accent1"/>
            </a:solidFill>
            <a:ln>
              <a:noFill/>
            </a:ln>
            <a:effectLst/>
            <a:extLst>
              <a:ext uri="{91240B29-F687-4F45-9708-019B960494DF}">
                <a14:hiddenLine xmlns:a14="http://schemas.microsoft.com/office/drawing/2010/main">
                  <a:noFill/>
                </a14:hiddenLine>
              </a:ext>
            </a:extLst>
          </c:spPr>
          <c:invertIfNegative val="0"/>
          <c:cat>
            <c:strRef>
              <c:f>RawData!$M$194:$M$223</c:f>
              <c:strCache>
                <c:ptCount val="30"/>
                <c:pt idx="0">
                  <c:v>Australia</c:v>
                </c:pt>
                <c:pt idx="1">
                  <c:v>Chile</c:v>
                </c:pt>
                <c:pt idx="2">
                  <c:v>China</c:v>
                </c:pt>
                <c:pt idx="3">
                  <c:v>Argentina</c:v>
                </c:pt>
                <c:pt idx="4">
                  <c:v>Brazil</c:v>
                </c:pt>
                <c:pt idx="5">
                  <c:v>US</c:v>
                </c:pt>
                <c:pt idx="6">
                  <c:v>Canada</c:v>
                </c:pt>
                <c:pt idx="7">
                  <c:v>Bolivia</c:v>
                </c:pt>
                <c:pt idx="8">
                  <c:v>Czech Republic</c:v>
                </c:pt>
                <c:pt idx="9">
                  <c:v>DRC</c:v>
                </c:pt>
                <c:pt idx="10">
                  <c:v>Finland</c:v>
                </c:pt>
                <c:pt idx="11">
                  <c:v>France</c:v>
                </c:pt>
                <c:pt idx="12">
                  <c:v>Germany</c:v>
                </c:pt>
                <c:pt idx="13">
                  <c:v>Hungary</c:v>
                </c:pt>
                <c:pt idx="14">
                  <c:v>India</c:v>
                </c:pt>
                <c:pt idx="15">
                  <c:v>Indonesia</c:v>
                </c:pt>
                <c:pt idx="16">
                  <c:v>Japan</c:v>
                </c:pt>
                <c:pt idx="17">
                  <c:v>Mexico</c:v>
                </c:pt>
                <c:pt idx="18">
                  <c:v>Morocco</c:v>
                </c:pt>
                <c:pt idx="19">
                  <c:v>Norway</c:v>
                </c:pt>
                <c:pt idx="20">
                  <c:v>Philippines</c:v>
                </c:pt>
                <c:pt idx="21">
                  <c:v>Poland</c:v>
                </c:pt>
                <c:pt idx="22">
                  <c:v>Slovakia</c:v>
                </c:pt>
                <c:pt idx="23">
                  <c:v>South Africa</c:v>
                </c:pt>
                <c:pt idx="24">
                  <c:v>South Korea</c:v>
                </c:pt>
                <c:pt idx="25">
                  <c:v>Sweden</c:v>
                </c:pt>
                <c:pt idx="26">
                  <c:v>Thailand</c:v>
                </c:pt>
                <c:pt idx="27">
                  <c:v>Turkey</c:v>
                </c:pt>
                <c:pt idx="28">
                  <c:v>UK</c:v>
                </c:pt>
                <c:pt idx="29">
                  <c:v>Vietnam</c:v>
                </c:pt>
              </c:strCache>
            </c:strRef>
          </c:cat>
          <c:val>
            <c:numRef>
              <c:f>RawData!$O$194:$O$223</c:f>
              <c:numCache>
                <c:formatCode>General</c:formatCode>
                <c:ptCount val="30"/>
                <c:pt idx="0">
                  <c:v>319.58999999999997</c:v>
                </c:pt>
                <c:pt idx="1">
                  <c:v>220.92500000000001</c:v>
                </c:pt>
                <c:pt idx="2">
                  <c:v>161.488</c:v>
                </c:pt>
                <c:pt idx="3">
                  <c:v>55.3</c:v>
                </c:pt>
                <c:pt idx="4">
                  <c:v>9.3040000000000003</c:v>
                </c:pt>
                <c:pt idx="5">
                  <c:v>5</c:v>
                </c:pt>
                <c:pt idx="6">
                  <c:v>1.9490000000000001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C73F-4BAA-8FC5-D341C24184D6}"/>
            </c:ext>
          </c:extLst>
        </c:ser>
        <c:dLbls>
          <c:showLegendKey val="0"/>
          <c:showVal val="0"/>
          <c:showCatName val="0"/>
          <c:showSerName val="0"/>
          <c:showPercent val="0"/>
          <c:showBubbleSize val="0"/>
        </c:dLbls>
        <c:gapWidth val="50"/>
        <c:axId val="1168763968"/>
        <c:axId val="1168766920"/>
      </c:barChart>
      <c:catAx>
        <c:axId val="1168763968"/>
        <c:scaling>
          <c:orientation val="maxMin"/>
        </c:scaling>
        <c:delete val="0"/>
        <c:axPos val="l"/>
        <c:numFmt formatCode="General" sourceLinked="1"/>
        <c:majorTickMark val="none"/>
        <c:minorTickMark val="none"/>
        <c:tickLblPos val="nextTo"/>
        <c:spPr>
          <a:noFill/>
          <a:ln w="3175" cap="flat" cmpd="sng" algn="ctr">
            <a:solidFill>
              <a:srgbClr val="B3B3B3"/>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en-US"/>
          </a:p>
        </c:txPr>
        <c:crossAx val="1168766920"/>
        <c:crosses val="autoZero"/>
        <c:auto val="1"/>
        <c:lblAlgn val="ctr"/>
        <c:lblOffset val="100"/>
        <c:noMultiLvlLbl val="0"/>
      </c:catAx>
      <c:valAx>
        <c:axId val="1168766920"/>
        <c:scaling>
          <c:orientation val="minMax"/>
        </c:scaling>
        <c:delete val="0"/>
        <c:axPos val="t"/>
        <c:majorGridlines>
          <c:spPr>
            <a:ln w="3175" cap="flat" cmpd="sng" algn="ctr">
              <a:solidFill>
                <a:srgbClr val="C0C0C0"/>
              </a:solidFill>
              <a:prstDash val="sysDash"/>
              <a:round/>
              <a:headEnd type="none" w="med" len="med"/>
              <a:tailEnd type="none" w="med" len="med"/>
            </a:ln>
            <a:effectLst/>
          </c:spPr>
        </c:majorGridlines>
        <c:numFmt formatCode="#,##0" sourceLinked="0"/>
        <c:majorTickMark val="none"/>
        <c:minorTickMark val="none"/>
        <c:tickLblPos val="nextTo"/>
        <c:spPr>
          <a:noFill/>
          <a:ln w="3175" cap="flat" cmpd="sng" algn="ctr">
            <a:noFill/>
            <a:prstDash val="solid"/>
            <a:round/>
            <a:headEnd type="none" w="med" len="med"/>
            <a:tailEnd type="none" w="med" len="med"/>
          </a:ln>
          <a:effectLst/>
          <a:extLst>
            <a:ext uri="{91240B29-F687-4F45-9708-019B960494DF}">
              <a14:hiddenLine xmlns:a14="http://schemas.microsoft.com/office/drawing/2010/main" w="3175" cap="flat" cmpd="sng" algn="ctr">
                <a:solidFill>
                  <a:srgbClr val="B3B3B3"/>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Arial" panose="020B0604020202020204" pitchFamily="34" charset="0"/>
                <a:ea typeface="+mn-ea"/>
                <a:cs typeface="Arial" panose="020B0604020202020204" pitchFamily="34" charset="0"/>
              </a:defRPr>
            </a:pPr>
            <a:endParaRPr lang="en-US"/>
          </a:p>
        </c:txPr>
        <c:crossAx val="1168763968"/>
        <c:crosses val="autoZero"/>
        <c:crossBetween val="between"/>
      </c:valAx>
      <c:spPr>
        <a:solidFill>
          <a:srgbClr val="FFFFFF">
            <a:lumMod val="100000"/>
            <a:alpha val="0"/>
          </a:srgb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958453597179171"/>
          <c:y val="0.15386828823222284"/>
          <c:w val="0.50784676228430081"/>
          <c:h val="0.6715732737024751"/>
        </c:manualLayout>
      </c:layout>
      <c:radarChart>
        <c:radarStyle val="marker"/>
        <c:varyColors val="0"/>
        <c:ser>
          <c:idx val="0"/>
          <c:order val="0"/>
          <c:tx>
            <c:strRef>
              <c:f>RawData!$M$27</c:f>
              <c:strCache>
                <c:ptCount val="1"/>
                <c:pt idx="0">
                  <c:v>Argentina 2022</c:v>
                </c:pt>
              </c:strCache>
            </c:strRef>
          </c:tx>
          <c:spPr>
            <a:ln w="38100" cap="rnd">
              <a:solidFill>
                <a:schemeClr val="bg1">
                  <a:lumMod val="75000"/>
                </a:schemeClr>
              </a:solidFill>
              <a:round/>
            </a:ln>
            <a:effectLst/>
          </c:spPr>
          <c:marker>
            <c:symbol val="circle"/>
            <c:size val="5"/>
            <c:spPr>
              <a:solidFill>
                <a:schemeClr val="bg1">
                  <a:lumMod val="75000"/>
                </a:schemeClr>
              </a:solidFill>
              <a:ln w="25400">
                <a:solidFill>
                  <a:schemeClr val="bg1">
                    <a:lumMod val="75000"/>
                  </a:schemeClr>
                </a:solidFill>
              </a:ln>
              <a:effectLst/>
            </c:spPr>
          </c:marker>
          <c:dPt>
            <c:idx val="4"/>
            <c:marker>
              <c:symbol val="circle"/>
              <c:size val="5"/>
              <c:spPr>
                <a:solidFill>
                  <a:schemeClr val="bg1">
                    <a:lumMod val="85000"/>
                  </a:schemeClr>
                </a:solidFill>
                <a:ln w="25400">
                  <a:solidFill>
                    <a:schemeClr val="bg1">
                      <a:lumMod val="85000"/>
                    </a:schemeClr>
                  </a:solidFill>
                </a:ln>
                <a:effectLst/>
              </c:spPr>
            </c:marker>
            <c:bubble3D val="0"/>
            <c:spPr>
              <a:ln w="38100" cap="rnd">
                <a:solidFill>
                  <a:schemeClr val="bg1">
                    <a:lumMod val="85000"/>
                  </a:schemeClr>
                </a:solidFill>
                <a:round/>
              </a:ln>
              <a:effectLst/>
            </c:spPr>
            <c:extLst>
              <c:ext xmlns:c16="http://schemas.microsoft.com/office/drawing/2014/chart" uri="{C3380CC4-5D6E-409C-BE32-E72D297353CC}">
                <c16:uniqueId val="{00000001-E3BA-4C47-AD82-72CDD9286285}"/>
              </c:ext>
            </c:extLst>
          </c:dPt>
          <c:cat>
            <c:strRef>
              <c:f>RawData!$L$28:$L$32</c:f>
              <c:strCache>
                <c:ptCount val="5"/>
                <c:pt idx="0">
                  <c:v>Raw materials</c:v>
                </c:pt>
                <c:pt idx="1">
                  <c:v>Downstream demand</c:v>
                </c:pt>
                <c:pt idx="2">
                  <c:v>III</c:v>
                </c:pt>
                <c:pt idx="3">
                  <c:v>ESG</c:v>
                </c:pt>
                <c:pt idx="4">
                  <c:v>Battery manufacturing</c:v>
                </c:pt>
              </c:strCache>
            </c:strRef>
          </c:cat>
          <c:val>
            <c:numRef>
              <c:f>RawData!$M$28:$M$32</c:f>
              <c:numCache>
                <c:formatCode>General</c:formatCode>
                <c:ptCount val="5"/>
                <c:pt idx="0">
                  <c:v>11</c:v>
                </c:pt>
                <c:pt idx="1">
                  <c:v>26</c:v>
                </c:pt>
                <c:pt idx="2">
                  <c:v>25</c:v>
                </c:pt>
                <c:pt idx="3">
                  <c:v>18</c:v>
                </c:pt>
                <c:pt idx="4">
                  <c:v>18</c:v>
                </c:pt>
              </c:numCache>
            </c:numRef>
          </c:val>
          <c:extLst>
            <c:ext xmlns:c16="http://schemas.microsoft.com/office/drawing/2014/chart" uri="{C3380CC4-5D6E-409C-BE32-E72D297353CC}">
              <c16:uniqueId val="{00000002-E3BA-4C47-AD82-72CDD9286285}"/>
            </c:ext>
          </c:extLst>
        </c:ser>
        <c:ser>
          <c:idx val="1"/>
          <c:order val="1"/>
          <c:tx>
            <c:strRef>
              <c:f>RawData!$N$27</c:f>
              <c:strCache>
                <c:ptCount val="1"/>
                <c:pt idx="0">
                  <c:v>Argentina 2023</c:v>
                </c:pt>
              </c:strCache>
            </c:strRef>
          </c:tx>
          <c:spPr>
            <a:ln w="38100" cap="rnd">
              <a:solidFill>
                <a:schemeClr val="tx1"/>
              </a:solidFill>
              <a:round/>
            </a:ln>
            <a:effectLst/>
          </c:spPr>
          <c:marker>
            <c:symbol val="circle"/>
            <c:size val="5"/>
            <c:spPr>
              <a:solidFill>
                <a:schemeClr val="tx1"/>
              </a:solidFill>
              <a:ln w="25400">
                <a:solidFill>
                  <a:schemeClr val="tx1"/>
                </a:solidFill>
              </a:ln>
              <a:effectLst/>
            </c:spPr>
          </c:marker>
          <c:cat>
            <c:strRef>
              <c:f>RawData!$L$28:$L$32</c:f>
              <c:strCache>
                <c:ptCount val="5"/>
                <c:pt idx="0">
                  <c:v>Raw materials</c:v>
                </c:pt>
                <c:pt idx="1">
                  <c:v>Downstream demand</c:v>
                </c:pt>
                <c:pt idx="2">
                  <c:v>III</c:v>
                </c:pt>
                <c:pt idx="3">
                  <c:v>ESG</c:v>
                </c:pt>
                <c:pt idx="4">
                  <c:v>Battery manufacturing</c:v>
                </c:pt>
              </c:strCache>
            </c:strRef>
          </c:cat>
          <c:val>
            <c:numRef>
              <c:f>RawData!$N$28:$N$32</c:f>
              <c:numCache>
                <c:formatCode>General</c:formatCode>
                <c:ptCount val="5"/>
                <c:pt idx="0">
                  <c:v>14</c:v>
                </c:pt>
                <c:pt idx="1">
                  <c:v>26</c:v>
                </c:pt>
                <c:pt idx="2">
                  <c:v>27</c:v>
                </c:pt>
                <c:pt idx="3">
                  <c:v>18</c:v>
                </c:pt>
                <c:pt idx="4">
                  <c:v>20</c:v>
                </c:pt>
              </c:numCache>
            </c:numRef>
          </c:val>
          <c:extLst>
            <c:ext xmlns:c16="http://schemas.microsoft.com/office/drawing/2014/chart" uri="{C3380CC4-5D6E-409C-BE32-E72D297353CC}">
              <c16:uniqueId val="{00000003-E3BA-4C47-AD82-72CDD9286285}"/>
            </c:ext>
          </c:extLst>
        </c:ser>
        <c:dLbls>
          <c:showLegendKey val="0"/>
          <c:showVal val="0"/>
          <c:showCatName val="0"/>
          <c:showSerName val="0"/>
          <c:showPercent val="0"/>
          <c:showBubbleSize val="0"/>
        </c:dLbls>
        <c:axId val="1491008832"/>
        <c:axId val="1491007584"/>
      </c:radarChart>
      <c:catAx>
        <c:axId val="1491008832"/>
        <c:scaling>
          <c:orientation val="minMax"/>
        </c:scaling>
        <c:delete val="1"/>
        <c:axPos val="b"/>
        <c:numFmt formatCode="General" sourceLinked="1"/>
        <c:majorTickMark val="none"/>
        <c:minorTickMark val="none"/>
        <c:tickLblPos val="nextTo"/>
        <c:crossAx val="1491007584"/>
        <c:crosses val="autoZero"/>
        <c:auto val="1"/>
        <c:lblAlgn val="ctr"/>
        <c:lblOffset val="100"/>
        <c:noMultiLvlLbl val="0"/>
      </c:catAx>
      <c:valAx>
        <c:axId val="1491007584"/>
        <c:scaling>
          <c:orientation val="maxMin"/>
          <c:max val="30"/>
          <c:min val="1"/>
        </c:scaling>
        <c:delete val="1"/>
        <c:axPos val="l"/>
        <c:majorGridlines>
          <c:spPr>
            <a:ln w="3175" cap="flat" cmpd="sng" algn="ctr">
              <a:solidFill>
                <a:srgbClr val="C0C0C0"/>
              </a:solidFill>
              <a:prstDash val="sysDash"/>
              <a:round/>
              <a:headEnd type="none" w="med" len="med"/>
              <a:tailEnd type="none" w="med" len="med"/>
            </a:ln>
            <a:effectLst/>
          </c:spPr>
        </c:majorGridlines>
        <c:numFmt formatCode="General" sourceLinked="1"/>
        <c:majorTickMark val="out"/>
        <c:minorTickMark val="none"/>
        <c:tickLblPos val="nextTo"/>
        <c:crossAx val="1491008832"/>
        <c:crosses val="autoZero"/>
        <c:crossBetween val="between"/>
        <c:majorUnit val="10"/>
      </c:valAx>
      <c:spPr>
        <a:solidFill>
          <a:srgbClr val="FFFFFF">
            <a:lumMod val="100000"/>
            <a:alpha val="0"/>
          </a:srgbClr>
        </a:solidFill>
        <a:ln>
          <a:noFill/>
        </a:ln>
        <a:effectLst/>
      </c:spPr>
    </c:plotArea>
    <c:legend>
      <c:legendPos val="r"/>
      <c:layout>
        <c:manualLayout>
          <c:xMode val="edge"/>
          <c:yMode val="edge"/>
          <c:x val="0.16167291666666669"/>
          <c:y val="0.91425241545893721"/>
          <c:w val="0.70866093749999992"/>
          <c:h val="6.4053245855989371E-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000000"/>
              </a:solidFill>
              <a:latin typeface="Arial"/>
              <a:ea typeface="Arial"/>
              <a:cs typeface="Arial"/>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lumMod val="100000"/>
        <a:alpha val="0"/>
      </a:srgbClr>
    </a:solid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chart" Target="../charts/chart3.xml"/><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8.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1463262</xdr:colOff>
      <xdr:row>0</xdr:row>
      <xdr:rowOff>100251</xdr:rowOff>
    </xdr:from>
    <xdr:to>
      <xdr:col>16384</xdr:col>
      <xdr:colOff>27609</xdr:colOff>
      <xdr:row>1</xdr:row>
      <xdr:rowOff>615700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rcRect t="87820" r="58643"/>
        <a:stretch/>
      </xdr:blipFill>
      <xdr:spPr>
        <a:xfrm flipV="1">
          <a:off x="2806605" y="100251"/>
          <a:ext cx="3540123" cy="681437"/>
        </a:xfrm>
        <a:prstGeom prst="rect">
          <a:avLst/>
        </a:prstGeom>
      </xdr:spPr>
    </xdr:pic>
    <xdr:clientData/>
  </xdr:twoCellAnchor>
  <xdr:twoCellAnchor editAs="oneCell">
    <xdr:from>
      <xdr:col>1</xdr:col>
      <xdr:colOff>45357</xdr:colOff>
      <xdr:row>1</xdr:row>
      <xdr:rowOff>81641</xdr:rowOff>
    </xdr:from>
    <xdr:to>
      <xdr:col>4</xdr:col>
      <xdr:colOff>989240</xdr:colOff>
      <xdr:row>1</xdr:row>
      <xdr:rowOff>488674</xdr:rowOff>
    </xdr:to>
    <xdr:pic>
      <xdr:nvPicPr>
        <xdr:cNvPr id="7" name="VBA_LogoBNEF">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5" t="29545" b="26981"/>
        <a:stretch/>
      </xdr:blipFill>
      <xdr:spPr>
        <a:xfrm>
          <a:off x="227574" y="247293"/>
          <a:ext cx="2118771" cy="4070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1207181</xdr:colOff>
      <xdr:row>0</xdr:row>
      <xdr:rowOff>428625</xdr:rowOff>
    </xdr:to>
    <xdr:pic>
      <xdr:nvPicPr>
        <xdr:cNvPr id="2" name="VBA_LogoBNEF">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6063" cy="390525"/>
        </a:xfrm>
        <a:prstGeom prst="rect">
          <a:avLst/>
        </a:prstGeom>
      </xdr:spPr>
    </xdr:pic>
    <xdr:clientData/>
  </xdr:twoCellAnchor>
  <xdr:twoCellAnchor>
    <xdr:from>
      <xdr:col>7</xdr:col>
      <xdr:colOff>546956</xdr:colOff>
      <xdr:row>3</xdr:row>
      <xdr:rowOff>144742</xdr:rowOff>
    </xdr:from>
    <xdr:to>
      <xdr:col>10</xdr:col>
      <xdr:colOff>615949</xdr:colOff>
      <xdr:row>37</xdr:row>
      <xdr:rowOff>76200</xdr:rowOff>
    </xdr:to>
    <xdr:graphicFrame macro="">
      <xdr:nvGraphicFramePr>
        <xdr:cNvPr id="3" name="图表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465991</xdr:colOff>
      <xdr:row>0</xdr:row>
      <xdr:rowOff>428625</xdr:rowOff>
    </xdr:to>
    <xdr:pic>
      <xdr:nvPicPr>
        <xdr:cNvPr id="2" name="VBA_LogoBNEF">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1275616</xdr:colOff>
      <xdr:row>0</xdr:row>
      <xdr:rowOff>433160</xdr:rowOff>
    </xdr:to>
    <xdr:pic>
      <xdr:nvPicPr>
        <xdr:cNvPr id="2" name="VBA_LogoBNEF">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224941" cy="3905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1408966</xdr:colOff>
      <xdr:row>0</xdr:row>
      <xdr:rowOff>428625</xdr:rowOff>
    </xdr:to>
    <xdr:pic>
      <xdr:nvPicPr>
        <xdr:cNvPr id="2" name="VBA_LogoBNEF">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absoluteAnchor>
    <xdr:pos x="7670800" y="3349625"/>
    <xdr:ext cx="7696200" cy="5467350"/>
    <xdr:graphicFrame macro="">
      <xdr:nvGraphicFramePr>
        <xdr:cNvPr id="3" name="ChartMetric">
          <a:extLst>
            <a:ext uri="{FF2B5EF4-FFF2-40B4-BE49-F238E27FC236}">
              <a16:creationId xmlns:a16="http://schemas.microsoft.com/office/drawing/2014/main" id="{00000000-0008-0000-0400-00000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xdr:from>
      <xdr:col>6</xdr:col>
      <xdr:colOff>260787</xdr:colOff>
      <xdr:row>11</xdr:row>
      <xdr:rowOff>61127</xdr:rowOff>
    </xdr:from>
    <xdr:to>
      <xdr:col>9</xdr:col>
      <xdr:colOff>1277337</xdr:colOff>
      <xdr:row>36</xdr:row>
      <xdr:rowOff>153002</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1627093</xdr:colOff>
      <xdr:row>23</xdr:row>
      <xdr:rowOff>19609</xdr:rowOff>
    </xdr:from>
    <xdr:to>
      <xdr:col>8</xdr:col>
      <xdr:colOff>85725</xdr:colOff>
      <xdr:row>31</xdr:row>
      <xdr:rowOff>104775</xdr:rowOff>
    </xdr:to>
    <xdr:grpSp>
      <xdr:nvGrpSpPr>
        <xdr:cNvPr id="26" name="Group 25">
          <a:extLst>
            <a:ext uri="{FF2B5EF4-FFF2-40B4-BE49-F238E27FC236}">
              <a16:creationId xmlns:a16="http://schemas.microsoft.com/office/drawing/2014/main" id="{00000000-0008-0000-0500-00001A000000}"/>
            </a:ext>
          </a:extLst>
        </xdr:cNvPr>
        <xdr:cNvGrpSpPr/>
      </xdr:nvGrpSpPr>
      <xdr:grpSpPr>
        <a:xfrm>
          <a:off x="11828368" y="4248709"/>
          <a:ext cx="316007" cy="1380566"/>
          <a:chOff x="7405217" y="1746378"/>
          <a:chExt cx="129774" cy="615838"/>
        </a:xfrm>
      </xdr:grpSpPr>
      <xdr:grpSp>
        <xdr:nvGrpSpPr>
          <xdr:cNvPr id="27" name="Group 26">
            <a:extLst>
              <a:ext uri="{FF2B5EF4-FFF2-40B4-BE49-F238E27FC236}">
                <a16:creationId xmlns:a16="http://schemas.microsoft.com/office/drawing/2014/main" id="{00000000-0008-0000-0500-00001B000000}"/>
              </a:ext>
            </a:extLst>
          </xdr:cNvPr>
          <xdr:cNvGrpSpPr/>
        </xdr:nvGrpSpPr>
        <xdr:grpSpPr>
          <a:xfrm>
            <a:off x="7405217" y="1746378"/>
            <a:ext cx="125099" cy="615838"/>
            <a:chOff x="816941" y="839523"/>
            <a:chExt cx="125099" cy="658264"/>
          </a:xfrm>
        </xdr:grpSpPr>
        <xdr:cxnSp macro="">
          <xdr:nvCxnSpPr>
            <xdr:cNvPr id="30" name="Straight Arrow Connector 29">
              <a:extLst>
                <a:ext uri="{FF2B5EF4-FFF2-40B4-BE49-F238E27FC236}">
                  <a16:creationId xmlns:a16="http://schemas.microsoft.com/office/drawing/2014/main" id="{00000000-0008-0000-0500-00001E000000}"/>
                </a:ext>
              </a:extLst>
            </xdr:cNvPr>
            <xdr:cNvCxnSpPr>
              <a:cxnSpLocks/>
              <a:endCxn id="33" idx="0"/>
            </xdr:cNvCxnSpPr>
          </xdr:nvCxnSpPr>
          <xdr:spPr>
            <a:xfrm>
              <a:off x="879066" y="950444"/>
              <a:ext cx="1" cy="438488"/>
            </a:xfrm>
            <a:prstGeom prst="straightConnector1">
              <a:avLst/>
            </a:prstGeom>
            <a:noFill/>
            <a:ln w="28575" cap="flat" cmpd="sng" algn="ctr">
              <a:solidFill>
                <a:srgbClr val="808080"/>
              </a:solidFill>
              <a:prstDash val="sysDash"/>
              <a:headEnd type="none" w="med" len="med"/>
              <a:tailEnd type="none" w="med" len="med"/>
            </a:ln>
            <a:effectLst/>
          </xdr:spPr>
          <xdr:style>
            <a:lnRef idx="1">
              <a:schemeClr val="accent1"/>
            </a:lnRef>
            <a:fillRef idx="0">
              <a:schemeClr val="accent1"/>
            </a:fillRef>
            <a:effectRef idx="0">
              <a:schemeClr val="accent1"/>
            </a:effectRef>
            <a:fontRef idx="minor">
              <a:schemeClr val="tx1"/>
            </a:fontRef>
          </xdr:style>
        </xdr:cxnSp>
        <xdr:grpSp>
          <xdr:nvGrpSpPr>
            <xdr:cNvPr id="31" name="Group 30">
              <a:extLst>
                <a:ext uri="{FF2B5EF4-FFF2-40B4-BE49-F238E27FC236}">
                  <a16:creationId xmlns:a16="http://schemas.microsoft.com/office/drawing/2014/main" id="{00000000-0008-0000-0500-00001F000000}"/>
                </a:ext>
              </a:extLst>
            </xdr:cNvPr>
            <xdr:cNvGrpSpPr/>
          </xdr:nvGrpSpPr>
          <xdr:grpSpPr>
            <a:xfrm>
              <a:off x="816941" y="839523"/>
              <a:ext cx="125099" cy="658264"/>
              <a:chOff x="816941" y="839523"/>
              <a:chExt cx="125099" cy="658264"/>
            </a:xfrm>
          </xdr:grpSpPr>
          <xdr:sp macro="" textlink="">
            <xdr:nvSpPr>
              <xdr:cNvPr id="32" name="TextBox 19">
                <a:extLst>
                  <a:ext uri="{FF2B5EF4-FFF2-40B4-BE49-F238E27FC236}">
                    <a16:creationId xmlns:a16="http://schemas.microsoft.com/office/drawing/2014/main" id="{00000000-0008-0000-0500-000020000000}"/>
                  </a:ext>
                </a:extLst>
              </xdr:cNvPr>
              <xdr:cNvSpPr txBox="1"/>
            </xdr:nvSpPr>
            <xdr:spPr>
              <a:xfrm>
                <a:off x="817789" y="839523"/>
                <a:ext cx="124251" cy="110921"/>
              </a:xfrm>
              <a:prstGeom prst="rect">
                <a:avLst/>
              </a:prstGeom>
              <a:solidFill>
                <a:srgbClr val="808080"/>
              </a:solidFill>
              <a:ln w="9525" cmpd="sng">
                <a:solidFill>
                  <a:srgbClr val="808080"/>
                </a:solidFill>
              </a:ln>
              <a:effectLst/>
            </xdr:spPr>
            <xdr:style>
              <a:lnRef idx="0">
                <a:scrgbClr r="0" g="0" b="0"/>
              </a:lnRef>
              <a:fillRef idx="0">
                <a:scrgbClr r="0" g="0" b="0"/>
              </a:fillRef>
              <a:effectRef idx="0">
                <a:scrgbClr r="0" g="0" b="0"/>
              </a:effectRef>
              <a:fontRef idx="minor">
                <a:schemeClr val="dk1"/>
              </a:fontRef>
            </xdr:style>
            <xdr:txBody>
              <a:bodyPr wrap="square" lIns="0" tIns="0" rIns="0" bIns="0"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ysClr val="windowText" lastClr="000000"/>
                    </a:solidFill>
                    <a:latin typeface="Arial"/>
                  </a:defRPr>
                </a:lvl1pPr>
                <a:lvl2pPr marL="141667" indent="-141667" algn="l" defTabSz="789018" rtl="0" eaLnBrk="1" latinLnBrk="0" hangingPunct="1">
                  <a:buClr>
                    <a:srgbClr val="7654A3"/>
                  </a:buClr>
                  <a:buSzPct val="90000"/>
                  <a:buFont typeface="Arial" panose="020B0604020202020204" pitchFamily="34" charset="0"/>
                  <a:buChar char="●"/>
                  <a:defRPr sz="939" kern="1200">
                    <a:solidFill>
                      <a:sysClr val="windowText" lastClr="000000"/>
                    </a:solidFill>
                    <a:latin typeface="Arial"/>
                  </a:defRPr>
                </a:lvl2pPr>
                <a:lvl3pPr marL="283334"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3pPr>
                <a:lvl4pPr marL="425002"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4pPr>
                <a:lvl5pPr marL="566669"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5pPr>
                <a:lvl6pPr marL="708336"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6pPr>
                <a:lvl7pPr marL="850003"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7pPr>
                <a:lvl8pPr marL="991671" indent="-141667" algn="l" defTabSz="789018" rtl="0" eaLnBrk="1" latinLnBrk="0" hangingPunct="1">
                  <a:buClr>
                    <a:srgbClr val="7654A3"/>
                  </a:buClr>
                  <a:buFont typeface="Arial" panose="020B0604020202020204" pitchFamily="34" charset="0"/>
                  <a:buChar char="•"/>
                  <a:defRPr sz="939" kern="1200" baseline="0">
                    <a:solidFill>
                      <a:sysClr val="windowText" lastClr="000000"/>
                    </a:solidFill>
                    <a:latin typeface="Arial"/>
                  </a:defRPr>
                </a:lvl8pPr>
                <a:lvl9pPr marL="1133338" indent="-141667" algn="l" defTabSz="789018" rtl="0" eaLnBrk="1" latinLnBrk="0" hangingPunct="1">
                  <a:buClr>
                    <a:srgbClr val="7654A3"/>
                  </a:buClr>
                  <a:buFont typeface="Arial" panose="020B0604020202020204" pitchFamily="34" charset="0"/>
                  <a:buChar char="–"/>
                  <a:defRPr sz="939" kern="1200" baseline="0">
                    <a:solidFill>
                      <a:sysClr val="windowText" lastClr="000000"/>
                    </a:solidFill>
                    <a:latin typeface="Arial"/>
                  </a:defRPr>
                </a:lvl9pPr>
              </a:lstStyle>
              <a:p>
                <a:pPr algn="ctr"/>
                <a:r>
                  <a:rPr lang="en-GB" sz="1100" b="1">
                    <a:solidFill>
                      <a:sysClr val="window" lastClr="FFFFFF"/>
                    </a:solidFill>
                  </a:rPr>
                  <a:t>30</a:t>
                </a:r>
              </a:p>
            </xdr:txBody>
          </xdr:sp>
          <xdr:sp macro="" textlink="">
            <xdr:nvSpPr>
              <xdr:cNvPr id="33" name="TextBox 20">
                <a:extLst>
                  <a:ext uri="{FF2B5EF4-FFF2-40B4-BE49-F238E27FC236}">
                    <a16:creationId xmlns:a16="http://schemas.microsoft.com/office/drawing/2014/main" id="{00000000-0008-0000-0500-000021000000}"/>
                  </a:ext>
                </a:extLst>
              </xdr:cNvPr>
              <xdr:cNvSpPr txBox="1"/>
            </xdr:nvSpPr>
            <xdr:spPr>
              <a:xfrm>
                <a:off x="816941" y="1388932"/>
                <a:ext cx="124251" cy="108855"/>
              </a:xfrm>
              <a:prstGeom prst="rect">
                <a:avLst/>
              </a:prstGeom>
              <a:solidFill>
                <a:srgbClr val="808080"/>
              </a:solidFill>
              <a:ln w="9525" cmpd="sng">
                <a:solidFill>
                  <a:srgbClr val="808080"/>
                </a:solidFill>
              </a:ln>
              <a:effectLst/>
            </xdr:spPr>
            <xdr:style>
              <a:lnRef idx="0">
                <a:scrgbClr r="0" g="0" b="0"/>
              </a:lnRef>
              <a:fillRef idx="0">
                <a:scrgbClr r="0" g="0" b="0"/>
              </a:fillRef>
              <a:effectRef idx="0">
                <a:scrgbClr r="0" g="0" b="0"/>
              </a:effectRef>
              <a:fontRef idx="minor">
                <a:schemeClr val="dk1"/>
              </a:fontRef>
            </xdr:style>
            <xdr:txBody>
              <a:bodyPr wrap="square" lIns="0" tIns="0" rIns="0" bIns="0"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ysClr val="windowText" lastClr="000000"/>
                    </a:solidFill>
                    <a:latin typeface="Arial"/>
                  </a:defRPr>
                </a:lvl1pPr>
                <a:lvl2pPr marL="141667" indent="-141667" algn="l" defTabSz="789018" rtl="0" eaLnBrk="1" latinLnBrk="0" hangingPunct="1">
                  <a:buClr>
                    <a:srgbClr val="7654A3"/>
                  </a:buClr>
                  <a:buSzPct val="90000"/>
                  <a:buFont typeface="Arial" panose="020B0604020202020204" pitchFamily="34" charset="0"/>
                  <a:buChar char="●"/>
                  <a:defRPr sz="939" kern="1200">
                    <a:solidFill>
                      <a:sysClr val="windowText" lastClr="000000"/>
                    </a:solidFill>
                    <a:latin typeface="Arial"/>
                  </a:defRPr>
                </a:lvl2pPr>
                <a:lvl3pPr marL="283334"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3pPr>
                <a:lvl4pPr marL="425002"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4pPr>
                <a:lvl5pPr marL="566669"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5pPr>
                <a:lvl6pPr marL="708336"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6pPr>
                <a:lvl7pPr marL="850003"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7pPr>
                <a:lvl8pPr marL="991671" indent="-141667" algn="l" defTabSz="789018" rtl="0" eaLnBrk="1" latinLnBrk="0" hangingPunct="1">
                  <a:buClr>
                    <a:srgbClr val="7654A3"/>
                  </a:buClr>
                  <a:buFont typeface="Arial" panose="020B0604020202020204" pitchFamily="34" charset="0"/>
                  <a:buChar char="•"/>
                  <a:defRPr sz="939" kern="1200" baseline="0">
                    <a:solidFill>
                      <a:sysClr val="windowText" lastClr="000000"/>
                    </a:solidFill>
                    <a:latin typeface="Arial"/>
                  </a:defRPr>
                </a:lvl8pPr>
                <a:lvl9pPr marL="1133338" indent="-141667" algn="l" defTabSz="789018" rtl="0" eaLnBrk="1" latinLnBrk="0" hangingPunct="1">
                  <a:buClr>
                    <a:srgbClr val="7654A3"/>
                  </a:buClr>
                  <a:buFont typeface="Arial" panose="020B0604020202020204" pitchFamily="34" charset="0"/>
                  <a:buChar char="–"/>
                  <a:defRPr sz="939" kern="1200" baseline="0">
                    <a:solidFill>
                      <a:sysClr val="windowText" lastClr="000000"/>
                    </a:solidFill>
                    <a:latin typeface="Arial"/>
                  </a:defRPr>
                </a:lvl9pPr>
              </a:lstStyle>
              <a:p>
                <a:pPr algn="ctr"/>
                <a:r>
                  <a:rPr lang="en-GB" sz="1100" b="1">
                    <a:solidFill>
                      <a:sysClr val="window" lastClr="FFFFFF"/>
                    </a:solidFill>
                  </a:rPr>
                  <a:t>1</a:t>
                </a:r>
              </a:p>
            </xdr:txBody>
          </xdr:sp>
        </xdr:grpSp>
      </xdr:grpSp>
      <xdr:sp macro="" textlink="">
        <xdr:nvSpPr>
          <xdr:cNvPr id="28" name="TextBox 20">
            <a:extLst>
              <a:ext uri="{FF2B5EF4-FFF2-40B4-BE49-F238E27FC236}">
                <a16:creationId xmlns:a16="http://schemas.microsoft.com/office/drawing/2014/main" id="{00000000-0008-0000-0500-00001C000000}"/>
              </a:ext>
            </a:extLst>
          </xdr:cNvPr>
          <xdr:cNvSpPr txBox="1"/>
        </xdr:nvSpPr>
        <xdr:spPr>
          <a:xfrm>
            <a:off x="7410740" y="2070461"/>
            <a:ext cx="124251" cy="101839"/>
          </a:xfrm>
          <a:prstGeom prst="rect">
            <a:avLst/>
          </a:prstGeom>
          <a:solidFill>
            <a:srgbClr val="808080"/>
          </a:solidFill>
          <a:ln w="9525" cmpd="sng">
            <a:solidFill>
              <a:srgbClr val="808080"/>
            </a:solidFill>
          </a:ln>
          <a:effectLst/>
        </xdr:spPr>
        <xdr:style>
          <a:lnRef idx="0">
            <a:scrgbClr r="0" g="0" b="0"/>
          </a:lnRef>
          <a:fillRef idx="0">
            <a:scrgbClr r="0" g="0" b="0"/>
          </a:fillRef>
          <a:effectRef idx="0">
            <a:scrgbClr r="0" g="0" b="0"/>
          </a:effectRef>
          <a:fontRef idx="minor">
            <a:schemeClr val="dk1"/>
          </a:fontRef>
        </xdr:style>
        <xdr:txBody>
          <a:bodyPr wrap="square" lIns="0" tIns="0" rIns="0" bIns="0"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ysClr val="windowText" lastClr="000000"/>
                </a:solidFill>
                <a:latin typeface="Arial"/>
              </a:defRPr>
            </a:lvl1pPr>
            <a:lvl2pPr marL="141667" indent="-141667" algn="l" defTabSz="789018" rtl="0" eaLnBrk="1" latinLnBrk="0" hangingPunct="1">
              <a:buClr>
                <a:srgbClr val="7654A3"/>
              </a:buClr>
              <a:buSzPct val="90000"/>
              <a:buFont typeface="Arial" panose="020B0604020202020204" pitchFamily="34" charset="0"/>
              <a:buChar char="●"/>
              <a:defRPr sz="939" kern="1200">
                <a:solidFill>
                  <a:sysClr val="windowText" lastClr="000000"/>
                </a:solidFill>
                <a:latin typeface="Arial"/>
              </a:defRPr>
            </a:lvl2pPr>
            <a:lvl3pPr marL="283334"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3pPr>
            <a:lvl4pPr marL="425002"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4pPr>
            <a:lvl5pPr marL="566669"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5pPr>
            <a:lvl6pPr marL="708336"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6pPr>
            <a:lvl7pPr marL="850003"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7pPr>
            <a:lvl8pPr marL="991671" indent="-141667" algn="l" defTabSz="789018" rtl="0" eaLnBrk="1" latinLnBrk="0" hangingPunct="1">
              <a:buClr>
                <a:srgbClr val="7654A3"/>
              </a:buClr>
              <a:buFont typeface="Arial" panose="020B0604020202020204" pitchFamily="34" charset="0"/>
              <a:buChar char="•"/>
              <a:defRPr sz="939" kern="1200" baseline="0">
                <a:solidFill>
                  <a:sysClr val="windowText" lastClr="000000"/>
                </a:solidFill>
                <a:latin typeface="Arial"/>
              </a:defRPr>
            </a:lvl8pPr>
            <a:lvl9pPr marL="1133338" indent="-141667" algn="l" defTabSz="789018" rtl="0" eaLnBrk="1" latinLnBrk="0" hangingPunct="1">
              <a:buClr>
                <a:srgbClr val="7654A3"/>
              </a:buClr>
              <a:buFont typeface="Arial" panose="020B0604020202020204" pitchFamily="34" charset="0"/>
              <a:buChar char="–"/>
              <a:defRPr sz="939" kern="1200" baseline="0">
                <a:solidFill>
                  <a:sysClr val="windowText" lastClr="000000"/>
                </a:solidFill>
                <a:latin typeface="Arial"/>
              </a:defRPr>
            </a:lvl9pPr>
          </a:lstStyle>
          <a:p>
            <a:pPr algn="ctr"/>
            <a:r>
              <a:rPr lang="en-GB" sz="1100" b="1">
                <a:solidFill>
                  <a:sysClr val="window" lastClr="FFFFFF"/>
                </a:solidFill>
              </a:rPr>
              <a:t>10</a:t>
            </a:r>
          </a:p>
        </xdr:txBody>
      </xdr:sp>
      <xdr:sp macro="" textlink="">
        <xdr:nvSpPr>
          <xdr:cNvPr id="29" name="TextBox 20">
            <a:extLst>
              <a:ext uri="{FF2B5EF4-FFF2-40B4-BE49-F238E27FC236}">
                <a16:creationId xmlns:a16="http://schemas.microsoft.com/office/drawing/2014/main" id="{00000000-0008-0000-0500-00001D000000}"/>
              </a:ext>
            </a:extLst>
          </xdr:cNvPr>
          <xdr:cNvSpPr txBox="1"/>
        </xdr:nvSpPr>
        <xdr:spPr>
          <a:xfrm>
            <a:off x="7405217" y="1902908"/>
            <a:ext cx="124251" cy="101839"/>
          </a:xfrm>
          <a:prstGeom prst="rect">
            <a:avLst/>
          </a:prstGeom>
          <a:solidFill>
            <a:srgbClr val="808080"/>
          </a:solidFill>
          <a:ln w="9525" cmpd="sng">
            <a:solidFill>
              <a:srgbClr val="808080"/>
            </a:solidFill>
          </a:ln>
          <a:effectLst/>
        </xdr:spPr>
        <xdr:style>
          <a:lnRef idx="0">
            <a:scrgbClr r="0" g="0" b="0"/>
          </a:lnRef>
          <a:fillRef idx="0">
            <a:scrgbClr r="0" g="0" b="0"/>
          </a:fillRef>
          <a:effectRef idx="0">
            <a:scrgbClr r="0" g="0" b="0"/>
          </a:effectRef>
          <a:fontRef idx="minor">
            <a:schemeClr val="dk1"/>
          </a:fontRef>
        </xdr:style>
        <xdr:txBody>
          <a:bodyPr wrap="square" lIns="0" tIns="0" rIns="0" bIns="0"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ysClr val="windowText" lastClr="000000"/>
                </a:solidFill>
                <a:latin typeface="Arial"/>
              </a:defRPr>
            </a:lvl1pPr>
            <a:lvl2pPr marL="141667" indent="-141667" algn="l" defTabSz="789018" rtl="0" eaLnBrk="1" latinLnBrk="0" hangingPunct="1">
              <a:buClr>
                <a:srgbClr val="7654A3"/>
              </a:buClr>
              <a:buSzPct val="90000"/>
              <a:buFont typeface="Arial" panose="020B0604020202020204" pitchFamily="34" charset="0"/>
              <a:buChar char="●"/>
              <a:defRPr sz="939" kern="1200">
                <a:solidFill>
                  <a:sysClr val="windowText" lastClr="000000"/>
                </a:solidFill>
                <a:latin typeface="Arial"/>
              </a:defRPr>
            </a:lvl2pPr>
            <a:lvl3pPr marL="283334"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3pPr>
            <a:lvl4pPr marL="425002"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4pPr>
            <a:lvl5pPr marL="566669"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5pPr>
            <a:lvl6pPr marL="708336"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6pPr>
            <a:lvl7pPr marL="850003" indent="-141667" algn="l" defTabSz="789018" rtl="0" eaLnBrk="1" latinLnBrk="0" hangingPunct="1">
              <a:buClr>
                <a:srgbClr val="7654A3"/>
              </a:buClr>
              <a:buFont typeface="Arial" panose="020B0604020202020204" pitchFamily="34" charset="0"/>
              <a:buChar char="–"/>
              <a:defRPr sz="939" kern="1200">
                <a:solidFill>
                  <a:sysClr val="windowText" lastClr="000000"/>
                </a:solidFill>
                <a:latin typeface="Arial"/>
              </a:defRPr>
            </a:lvl7pPr>
            <a:lvl8pPr marL="991671" indent="-141667" algn="l" defTabSz="789018" rtl="0" eaLnBrk="1" latinLnBrk="0" hangingPunct="1">
              <a:buClr>
                <a:srgbClr val="7654A3"/>
              </a:buClr>
              <a:buFont typeface="Arial" panose="020B0604020202020204" pitchFamily="34" charset="0"/>
              <a:buChar char="•"/>
              <a:defRPr sz="939" kern="1200" baseline="0">
                <a:solidFill>
                  <a:sysClr val="windowText" lastClr="000000"/>
                </a:solidFill>
                <a:latin typeface="Arial"/>
              </a:defRPr>
            </a:lvl8pPr>
            <a:lvl9pPr marL="1133338" indent="-141667" algn="l" defTabSz="789018" rtl="0" eaLnBrk="1" latinLnBrk="0" hangingPunct="1">
              <a:buClr>
                <a:srgbClr val="7654A3"/>
              </a:buClr>
              <a:buFont typeface="Arial" panose="020B0604020202020204" pitchFamily="34" charset="0"/>
              <a:buChar char="–"/>
              <a:defRPr sz="939" kern="1200" baseline="0">
                <a:solidFill>
                  <a:sysClr val="windowText" lastClr="000000"/>
                </a:solidFill>
                <a:latin typeface="Arial"/>
              </a:defRPr>
            </a:lvl9pPr>
          </a:lstStyle>
          <a:p>
            <a:pPr algn="ctr"/>
            <a:r>
              <a:rPr lang="en-GB" sz="1100" b="1">
                <a:solidFill>
                  <a:sysClr val="window" lastClr="FFFFFF"/>
                </a:solidFill>
              </a:rPr>
              <a:t>20</a:t>
            </a:r>
          </a:p>
        </xdr:txBody>
      </xdr:sp>
    </xdr:grpSp>
    <xdr:clientData/>
  </xdr:twoCellAnchor>
  <xdr:twoCellAnchor editAs="oneCell">
    <xdr:from>
      <xdr:col>0</xdr:col>
      <xdr:colOff>0</xdr:colOff>
      <xdr:row>0</xdr:row>
      <xdr:rowOff>38100</xdr:rowOff>
    </xdr:from>
    <xdr:to>
      <xdr:col>1</xdr:col>
      <xdr:colOff>1408966</xdr:colOff>
      <xdr:row>0</xdr:row>
      <xdr:rowOff>434975</xdr:rowOff>
    </xdr:to>
    <xdr:pic>
      <xdr:nvPicPr>
        <xdr:cNvPr id="2" name="VBA_LogoBNEF">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5" t="29546" b="28744"/>
        <a:stretch/>
      </xdr:blipFill>
      <xdr:spPr>
        <a:xfrm>
          <a:off x="0" y="38100"/>
          <a:ext cx="2123341" cy="396875"/>
        </a:xfrm>
        <a:prstGeom prst="rect">
          <a:avLst/>
        </a:prstGeom>
      </xdr:spPr>
    </xdr:pic>
    <xdr:clientData/>
  </xdr:twoCellAnchor>
  <xdr:twoCellAnchor>
    <xdr:from>
      <xdr:col>6</xdr:col>
      <xdr:colOff>1261533</xdr:colOff>
      <xdr:row>11</xdr:row>
      <xdr:rowOff>155575</xdr:rowOff>
    </xdr:from>
    <xdr:to>
      <xdr:col>9</xdr:col>
      <xdr:colOff>396876</xdr:colOff>
      <xdr:row>33</xdr:row>
      <xdr:rowOff>117476</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9881658" y="2441575"/>
          <a:ext cx="4155018" cy="3524251"/>
          <a:chOff x="23813" y="0"/>
          <a:chExt cx="1705458" cy="1619817"/>
        </a:xfrm>
      </xdr:grpSpPr>
      <xdr:grpSp>
        <xdr:nvGrpSpPr>
          <xdr:cNvPr id="35" name="Group 34">
            <a:extLst>
              <a:ext uri="{FF2B5EF4-FFF2-40B4-BE49-F238E27FC236}">
                <a16:creationId xmlns:a16="http://schemas.microsoft.com/office/drawing/2014/main" id="{00000000-0008-0000-0500-000023000000}"/>
              </a:ext>
            </a:extLst>
          </xdr:cNvPr>
          <xdr:cNvGrpSpPr/>
        </xdr:nvGrpSpPr>
        <xdr:grpSpPr>
          <a:xfrm>
            <a:off x="779136" y="0"/>
            <a:ext cx="195732" cy="198000"/>
            <a:chOff x="779136" y="0"/>
            <a:chExt cx="504000" cy="504000"/>
          </a:xfrm>
        </xdr:grpSpPr>
        <xdr:sp macro="" textlink="">
          <xdr:nvSpPr>
            <xdr:cNvPr id="48" name="Flowchart: Connector 47">
              <a:extLst>
                <a:ext uri="{FF2B5EF4-FFF2-40B4-BE49-F238E27FC236}">
                  <a16:creationId xmlns:a16="http://schemas.microsoft.com/office/drawing/2014/main" id="{00000000-0008-0000-0500-000030000000}"/>
                </a:ext>
              </a:extLst>
            </xdr:cNvPr>
            <xdr:cNvSpPr/>
          </xdr:nvSpPr>
          <xdr:spPr>
            <a:xfrm>
              <a:off x="779136" y="0"/>
              <a:ext cx="504000" cy="504000"/>
            </a:xfrm>
            <a:prstGeom prst="flowChartConnector">
              <a:avLst/>
            </a:prstGeom>
            <a:solidFill>
              <a:schemeClr val="accent1">
                <a:lumMod val="20000"/>
                <a:lumOff val="80000"/>
              </a:schemeClr>
            </a:solid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chemeClr val="lt1"/>
                  </a:solidFill>
                  <a:latin typeface="+mn-lt"/>
                  <a:ea typeface="+mn-ea"/>
                  <a:cs typeface="+mn-cs"/>
                </a:defRPr>
              </a:lvl1pPr>
              <a:lvl2pPr marL="141667" indent="-141667" algn="l" defTabSz="789018" rtl="0" eaLnBrk="1" latinLnBrk="0" hangingPunct="1">
                <a:buClr>
                  <a:schemeClr val="accent2"/>
                </a:buClr>
                <a:buSzPct val="90000"/>
                <a:buFont typeface="Arial" panose="020B0604020202020204" pitchFamily="34" charset="0"/>
                <a:buChar char="●"/>
                <a:defRPr sz="939" kern="1200">
                  <a:solidFill>
                    <a:schemeClr val="lt1"/>
                  </a:solidFill>
                  <a:latin typeface="+mn-lt"/>
                  <a:ea typeface="+mn-ea"/>
                  <a:cs typeface="+mn-cs"/>
                </a:defRPr>
              </a:lvl2pPr>
              <a:lvl3pPr marL="283334"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3pPr>
              <a:lvl4pPr marL="425002"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4pPr>
              <a:lvl5pPr marL="566669"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5pPr>
              <a:lvl6pPr marL="708336"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6pPr>
              <a:lvl7pPr marL="850003"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7pPr>
              <a:lvl8pPr marL="991671"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8pPr>
              <a:lvl9pPr marL="1133338"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9pPr>
            </a:lstStyle>
            <a:p>
              <a:pPr algn="ctr"/>
              <a:endParaRPr lang="en-GB"/>
            </a:p>
          </xdr:txBody>
        </xdr:sp>
        <xdr:pic>
          <xdr:nvPicPr>
            <xdr:cNvPr id="49" name="Picture 48" descr="A black background with circles&#10;&#10;Description automatically generated">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0971" y="71993"/>
              <a:ext cx="369600" cy="369600"/>
            </a:xfrm>
            <a:prstGeom prst="rect">
              <a:avLst/>
            </a:prstGeom>
            <a:noFill/>
            <a:ln cap="rnd">
              <a:noFill/>
            </a:ln>
          </xdr:spPr>
        </xdr:pic>
      </xdr:grpSp>
      <xdr:grpSp>
        <xdr:nvGrpSpPr>
          <xdr:cNvPr id="36" name="Group 35">
            <a:extLst>
              <a:ext uri="{FF2B5EF4-FFF2-40B4-BE49-F238E27FC236}">
                <a16:creationId xmlns:a16="http://schemas.microsoft.com/office/drawing/2014/main" id="{00000000-0008-0000-0500-000024000000}"/>
              </a:ext>
            </a:extLst>
          </xdr:cNvPr>
          <xdr:cNvGrpSpPr/>
        </xdr:nvGrpSpPr>
        <xdr:grpSpPr>
          <a:xfrm>
            <a:off x="23813" y="557889"/>
            <a:ext cx="195732" cy="198000"/>
            <a:chOff x="23813" y="557889"/>
            <a:chExt cx="504000" cy="504000"/>
          </a:xfrm>
        </xdr:grpSpPr>
        <xdr:sp macro="" textlink="">
          <xdr:nvSpPr>
            <xdr:cNvPr id="46" name="Flowchart: Connector 45">
              <a:extLst>
                <a:ext uri="{FF2B5EF4-FFF2-40B4-BE49-F238E27FC236}">
                  <a16:creationId xmlns:a16="http://schemas.microsoft.com/office/drawing/2014/main" id="{00000000-0008-0000-0500-00002E000000}"/>
                </a:ext>
              </a:extLst>
            </xdr:cNvPr>
            <xdr:cNvSpPr/>
          </xdr:nvSpPr>
          <xdr:spPr>
            <a:xfrm>
              <a:off x="23813" y="557889"/>
              <a:ext cx="504000" cy="504000"/>
            </a:xfrm>
            <a:prstGeom prst="flowChartConnector">
              <a:avLst/>
            </a:prstGeom>
            <a:solidFill>
              <a:srgbClr val="EF5B9D">
                <a:alpha val="20000"/>
              </a:srgbClr>
            </a:solidFill>
            <a:ln w="12700">
              <a:solidFill>
                <a:srgbClr val="EF5B9D"/>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chemeClr val="lt1"/>
                  </a:solidFill>
                  <a:latin typeface="+mn-lt"/>
                  <a:ea typeface="+mn-ea"/>
                  <a:cs typeface="+mn-cs"/>
                </a:defRPr>
              </a:lvl1pPr>
              <a:lvl2pPr marL="141667" indent="-141667" algn="l" defTabSz="789018" rtl="0" eaLnBrk="1" latinLnBrk="0" hangingPunct="1">
                <a:buClr>
                  <a:schemeClr val="accent2"/>
                </a:buClr>
                <a:buSzPct val="90000"/>
                <a:buFont typeface="Arial" panose="020B0604020202020204" pitchFamily="34" charset="0"/>
                <a:buChar char="●"/>
                <a:defRPr sz="939" kern="1200">
                  <a:solidFill>
                    <a:schemeClr val="lt1"/>
                  </a:solidFill>
                  <a:latin typeface="+mn-lt"/>
                  <a:ea typeface="+mn-ea"/>
                  <a:cs typeface="+mn-cs"/>
                </a:defRPr>
              </a:lvl2pPr>
              <a:lvl3pPr marL="283334"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3pPr>
              <a:lvl4pPr marL="425002"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4pPr>
              <a:lvl5pPr marL="566669"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5pPr>
              <a:lvl6pPr marL="708336"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6pPr>
              <a:lvl7pPr marL="850003"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7pPr>
              <a:lvl8pPr marL="991671"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8pPr>
              <a:lvl9pPr marL="1133338"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9pPr>
            </a:lstStyle>
            <a:p>
              <a:pPr algn="ctr"/>
              <a:endParaRPr lang="en-GB"/>
            </a:p>
          </xdr:txBody>
        </xdr:sp>
        <xdr:pic>
          <xdr:nvPicPr>
            <xdr:cNvPr id="47" name="Picture 46" descr="A black background with white crosses&#10;&#10;Description automatically generated">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8717" y="636384"/>
              <a:ext cx="369600" cy="369599"/>
            </a:xfrm>
            <a:prstGeom prst="rect">
              <a:avLst/>
            </a:prstGeom>
            <a:noFill/>
            <a:ln cap="rnd">
              <a:noFill/>
            </a:ln>
          </xdr:spPr>
        </xdr:pic>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533539" y="554099"/>
            <a:ext cx="195732" cy="198000"/>
            <a:chOff x="1533539" y="568192"/>
            <a:chExt cx="504000" cy="504000"/>
          </a:xfrm>
        </xdr:grpSpPr>
        <xdr:sp macro="" textlink="">
          <xdr:nvSpPr>
            <xdr:cNvPr id="44" name="Flowchart: Connector 43">
              <a:extLst>
                <a:ext uri="{FF2B5EF4-FFF2-40B4-BE49-F238E27FC236}">
                  <a16:creationId xmlns:a16="http://schemas.microsoft.com/office/drawing/2014/main" id="{00000000-0008-0000-0500-00002C000000}"/>
                </a:ext>
              </a:extLst>
            </xdr:cNvPr>
            <xdr:cNvSpPr/>
          </xdr:nvSpPr>
          <xdr:spPr>
            <a:xfrm>
              <a:off x="1533539" y="568192"/>
              <a:ext cx="504000" cy="504000"/>
            </a:xfrm>
            <a:prstGeom prst="flowChartConnector">
              <a:avLst/>
            </a:prstGeom>
            <a:solidFill>
              <a:srgbClr val="FFC91D">
                <a:alpha val="20000"/>
              </a:srgbClr>
            </a:solidFill>
            <a:ln w="12700">
              <a:solidFill>
                <a:srgbClr val="FFC91D"/>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chemeClr val="lt1"/>
                  </a:solidFill>
                  <a:latin typeface="+mn-lt"/>
                  <a:ea typeface="+mn-ea"/>
                  <a:cs typeface="+mn-cs"/>
                </a:defRPr>
              </a:lvl1pPr>
              <a:lvl2pPr marL="141667" indent="-141667" algn="l" defTabSz="789018" rtl="0" eaLnBrk="1" latinLnBrk="0" hangingPunct="1">
                <a:buClr>
                  <a:schemeClr val="accent2"/>
                </a:buClr>
                <a:buSzPct val="90000"/>
                <a:buFont typeface="Arial" panose="020B0604020202020204" pitchFamily="34" charset="0"/>
                <a:buChar char="●"/>
                <a:defRPr sz="939" kern="1200">
                  <a:solidFill>
                    <a:schemeClr val="lt1"/>
                  </a:solidFill>
                  <a:latin typeface="+mn-lt"/>
                  <a:ea typeface="+mn-ea"/>
                  <a:cs typeface="+mn-cs"/>
                </a:defRPr>
              </a:lvl2pPr>
              <a:lvl3pPr marL="283334"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3pPr>
              <a:lvl4pPr marL="425002"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4pPr>
              <a:lvl5pPr marL="566669"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5pPr>
              <a:lvl6pPr marL="708336"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6pPr>
              <a:lvl7pPr marL="850003"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7pPr>
              <a:lvl8pPr marL="991671"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8pPr>
              <a:lvl9pPr marL="1133338"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9pPr>
            </a:lstStyle>
            <a:p>
              <a:pPr algn="ctr"/>
              <a:endParaRPr lang="en-GB"/>
            </a:p>
          </xdr:txBody>
        </xdr:sp>
        <xdr:pic>
          <xdr:nvPicPr>
            <xdr:cNvPr id="45" name="Picture 44" descr="A silhouette of a truck&#10;&#10;Description automatically generated">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65038" y="585962"/>
              <a:ext cx="441001" cy="441000"/>
            </a:xfrm>
            <a:prstGeom prst="rect">
              <a:avLst/>
            </a:prstGeom>
          </xdr:spPr>
        </xdr:pic>
      </xdr:grpSp>
      <xdr:grpSp>
        <xdr:nvGrpSpPr>
          <xdr:cNvPr id="38" name="Group 37">
            <a:extLst>
              <a:ext uri="{FF2B5EF4-FFF2-40B4-BE49-F238E27FC236}">
                <a16:creationId xmlns:a16="http://schemas.microsoft.com/office/drawing/2014/main" id="{00000000-0008-0000-0500-000026000000}"/>
              </a:ext>
            </a:extLst>
          </xdr:cNvPr>
          <xdr:cNvGrpSpPr/>
        </xdr:nvGrpSpPr>
        <xdr:grpSpPr>
          <a:xfrm>
            <a:off x="318663" y="1421407"/>
            <a:ext cx="198000" cy="198000"/>
            <a:chOff x="318663" y="1421407"/>
            <a:chExt cx="504000" cy="504000"/>
          </a:xfrm>
        </xdr:grpSpPr>
        <xdr:sp macro="" textlink="">
          <xdr:nvSpPr>
            <xdr:cNvPr id="42" name="Flowchart: Connector 41">
              <a:extLst>
                <a:ext uri="{FF2B5EF4-FFF2-40B4-BE49-F238E27FC236}">
                  <a16:creationId xmlns:a16="http://schemas.microsoft.com/office/drawing/2014/main" id="{00000000-0008-0000-0500-00002A000000}"/>
                </a:ext>
              </a:extLst>
            </xdr:cNvPr>
            <xdr:cNvSpPr/>
          </xdr:nvSpPr>
          <xdr:spPr>
            <a:xfrm>
              <a:off x="318663" y="1421407"/>
              <a:ext cx="504000" cy="504000"/>
            </a:xfrm>
            <a:prstGeom prst="flowChartConnector">
              <a:avLst/>
            </a:prstGeom>
            <a:solidFill>
              <a:schemeClr val="accent6">
                <a:lumMod val="20000"/>
                <a:lumOff val="80000"/>
              </a:schemeClr>
            </a:solidFill>
            <a:ln w="1270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chemeClr val="lt1"/>
                  </a:solidFill>
                  <a:latin typeface="+mn-lt"/>
                  <a:ea typeface="+mn-ea"/>
                  <a:cs typeface="+mn-cs"/>
                </a:defRPr>
              </a:lvl1pPr>
              <a:lvl2pPr marL="141667" indent="-141667" algn="l" defTabSz="789018" rtl="0" eaLnBrk="1" latinLnBrk="0" hangingPunct="1">
                <a:buClr>
                  <a:schemeClr val="accent2"/>
                </a:buClr>
                <a:buSzPct val="90000"/>
                <a:buFont typeface="Arial" panose="020B0604020202020204" pitchFamily="34" charset="0"/>
                <a:buChar char="●"/>
                <a:defRPr sz="939" kern="1200">
                  <a:solidFill>
                    <a:schemeClr val="lt1"/>
                  </a:solidFill>
                  <a:latin typeface="+mn-lt"/>
                  <a:ea typeface="+mn-ea"/>
                  <a:cs typeface="+mn-cs"/>
                </a:defRPr>
              </a:lvl2pPr>
              <a:lvl3pPr marL="283334"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3pPr>
              <a:lvl4pPr marL="425002"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4pPr>
              <a:lvl5pPr marL="566669"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5pPr>
              <a:lvl6pPr marL="708336"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6pPr>
              <a:lvl7pPr marL="850003"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7pPr>
              <a:lvl8pPr marL="991671"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8pPr>
              <a:lvl9pPr marL="1133338"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9pPr>
            </a:lstStyle>
            <a:p>
              <a:pPr algn="ctr"/>
              <a:endParaRPr lang="en-GB"/>
            </a:p>
          </xdr:txBody>
        </xdr:sp>
        <xdr:pic>
          <xdr:nvPicPr>
            <xdr:cNvPr id="43" name="Picture 42" descr="A black background with a black square&#10;&#10;Description automatically generated with medium confidence">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81688" y="1469664"/>
              <a:ext cx="378000" cy="378000"/>
            </a:xfrm>
            <a:prstGeom prst="rect">
              <a:avLst/>
            </a:prstGeom>
          </xdr:spPr>
        </xdr:pic>
      </xdr:grpSp>
      <xdr:grpSp>
        <xdr:nvGrpSpPr>
          <xdr:cNvPr id="39" name="Group 38">
            <a:extLst>
              <a:ext uri="{FF2B5EF4-FFF2-40B4-BE49-F238E27FC236}">
                <a16:creationId xmlns:a16="http://schemas.microsoft.com/office/drawing/2014/main" id="{00000000-0008-0000-0500-000027000000}"/>
              </a:ext>
            </a:extLst>
          </xdr:cNvPr>
          <xdr:cNvGrpSpPr/>
        </xdr:nvGrpSpPr>
        <xdr:grpSpPr>
          <a:xfrm>
            <a:off x="1254806" y="1421817"/>
            <a:ext cx="198000" cy="198000"/>
            <a:chOff x="1253494" y="1396122"/>
            <a:chExt cx="504000" cy="504000"/>
          </a:xfrm>
        </xdr:grpSpPr>
        <xdr:sp macro="" textlink="">
          <xdr:nvSpPr>
            <xdr:cNvPr id="40" name="Flowchart: Connector 39">
              <a:extLst>
                <a:ext uri="{FF2B5EF4-FFF2-40B4-BE49-F238E27FC236}">
                  <a16:creationId xmlns:a16="http://schemas.microsoft.com/office/drawing/2014/main" id="{00000000-0008-0000-0500-000028000000}"/>
                </a:ext>
              </a:extLst>
            </xdr:cNvPr>
            <xdr:cNvSpPr/>
          </xdr:nvSpPr>
          <xdr:spPr>
            <a:xfrm>
              <a:off x="1253494" y="1396122"/>
              <a:ext cx="504000" cy="504000"/>
            </a:xfrm>
            <a:prstGeom prst="flowChartConnector">
              <a:avLst/>
            </a:prstGeom>
            <a:solidFill>
              <a:srgbClr val="F47E3E">
                <a:alpha val="20000"/>
              </a:srgbClr>
            </a:solidFill>
            <a:ln w="12700">
              <a:solidFill>
                <a:srgbClr val="F47E3E"/>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789018" rtl="0" eaLnBrk="1" latinLnBrk="0" hangingPunct="1">
                <a:spcBef>
                  <a:spcPts val="235"/>
                </a:spcBef>
                <a:buFont typeface="Arial" panose="020B0604020202020204" pitchFamily="34" charset="0"/>
                <a:buNone/>
                <a:defRPr sz="939" kern="1200">
                  <a:solidFill>
                    <a:schemeClr val="lt1"/>
                  </a:solidFill>
                  <a:latin typeface="+mn-lt"/>
                  <a:ea typeface="+mn-ea"/>
                  <a:cs typeface="+mn-cs"/>
                </a:defRPr>
              </a:lvl1pPr>
              <a:lvl2pPr marL="141667" indent="-141667" algn="l" defTabSz="789018" rtl="0" eaLnBrk="1" latinLnBrk="0" hangingPunct="1">
                <a:buClr>
                  <a:schemeClr val="accent2"/>
                </a:buClr>
                <a:buSzPct val="90000"/>
                <a:buFont typeface="Arial" panose="020B0604020202020204" pitchFamily="34" charset="0"/>
                <a:buChar char="●"/>
                <a:defRPr sz="939" kern="1200">
                  <a:solidFill>
                    <a:schemeClr val="lt1"/>
                  </a:solidFill>
                  <a:latin typeface="+mn-lt"/>
                  <a:ea typeface="+mn-ea"/>
                  <a:cs typeface="+mn-cs"/>
                </a:defRPr>
              </a:lvl2pPr>
              <a:lvl3pPr marL="283334"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3pPr>
              <a:lvl4pPr marL="425002"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4pPr>
              <a:lvl5pPr marL="566669"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5pPr>
              <a:lvl6pPr marL="708336"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6pPr>
              <a:lvl7pPr marL="850003" indent="-141667" algn="l" defTabSz="789018" rtl="0" eaLnBrk="1" latinLnBrk="0" hangingPunct="1">
                <a:buClr>
                  <a:schemeClr val="accent2"/>
                </a:buClr>
                <a:buFont typeface="Arial" panose="020B0604020202020204" pitchFamily="34" charset="0"/>
                <a:buChar char="–"/>
                <a:defRPr sz="939" kern="1200">
                  <a:solidFill>
                    <a:schemeClr val="lt1"/>
                  </a:solidFill>
                  <a:latin typeface="+mn-lt"/>
                  <a:ea typeface="+mn-ea"/>
                  <a:cs typeface="+mn-cs"/>
                </a:defRPr>
              </a:lvl7pPr>
              <a:lvl8pPr marL="991671"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8pPr>
              <a:lvl9pPr marL="1133338" indent="-141667" algn="l" defTabSz="789018" rtl="0" eaLnBrk="1" latinLnBrk="0" hangingPunct="1">
                <a:buClr>
                  <a:schemeClr val="accent2"/>
                </a:buClr>
                <a:buFont typeface="Arial" panose="020B0604020202020204" pitchFamily="34" charset="0"/>
                <a:buChar char="–"/>
                <a:defRPr sz="939" kern="1200" baseline="0">
                  <a:solidFill>
                    <a:schemeClr val="lt1"/>
                  </a:solidFill>
                  <a:latin typeface="+mn-lt"/>
                  <a:ea typeface="+mn-ea"/>
                  <a:cs typeface="+mn-cs"/>
                </a:defRPr>
              </a:lvl9pPr>
            </a:lstStyle>
            <a:p>
              <a:pPr algn="ctr"/>
              <a:endParaRPr lang="en-GB"/>
            </a:p>
          </xdr:txBody>
        </xdr:sp>
        <xdr:pic>
          <xdr:nvPicPr>
            <xdr:cNvPr id="41" name="Picture 40" descr="A black background with a black square&#10;&#10;Description automatically generated with medium confidence">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20142" y="1470750"/>
              <a:ext cx="378000" cy="378000"/>
            </a:xfrm>
            <a:prstGeom prst="rect">
              <a:avLst/>
            </a:prstGeom>
          </xdr:spPr>
        </xdr:pic>
      </xdr:grpSp>
    </xdr:grpSp>
    <xdr:clientData/>
  </xdr:twoCellAnchor>
  <xdr:twoCellAnchor>
    <xdr:from>
      <xdr:col>6</xdr:col>
      <xdr:colOff>857250</xdr:colOff>
      <xdr:row>10</xdr:row>
      <xdr:rowOff>0</xdr:rowOff>
    </xdr:from>
    <xdr:to>
      <xdr:col>9</xdr:col>
      <xdr:colOff>775759</xdr:colOff>
      <xdr:row>33</xdr:row>
      <xdr:rowOff>19050</xdr:rowOff>
    </xdr:to>
    <xdr:grpSp>
      <xdr:nvGrpSpPr>
        <xdr:cNvPr id="50" name="Group 49">
          <a:extLst>
            <a:ext uri="{FF2B5EF4-FFF2-40B4-BE49-F238E27FC236}">
              <a16:creationId xmlns:a16="http://schemas.microsoft.com/office/drawing/2014/main" id="{00000000-0008-0000-0500-000032000000}"/>
            </a:ext>
          </a:extLst>
        </xdr:cNvPr>
        <xdr:cNvGrpSpPr/>
      </xdr:nvGrpSpPr>
      <xdr:grpSpPr>
        <a:xfrm>
          <a:off x="9477375" y="2124075"/>
          <a:ext cx="4938184" cy="3743325"/>
          <a:chOff x="9832974" y="2263775"/>
          <a:chExt cx="4661959" cy="3743325"/>
        </a:xfrm>
      </xdr:grpSpPr>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11560174" y="2263775"/>
            <a:ext cx="1200151"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Raw materials</a:t>
            </a: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3294783" y="3253316"/>
            <a:ext cx="1200150" cy="594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Downstream demand</a:t>
            </a:r>
          </a:p>
        </xdr:txBody>
      </xdr:sp>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9832974" y="3227916"/>
            <a:ext cx="1200150" cy="594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Battery manufacturing</a:t>
            </a:r>
          </a:p>
        </xdr:txBody>
      </xdr:sp>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0019242" y="5785909"/>
            <a:ext cx="1200150" cy="221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ESG</a:t>
            </a:r>
          </a:p>
        </xdr:txBody>
      </xdr:sp>
      <xdr:sp macro="" textlink="">
        <xdr:nvSpPr>
          <xdr:cNvPr id="55" name="TextBox 54">
            <a:extLst>
              <a:ext uri="{FF2B5EF4-FFF2-40B4-BE49-F238E27FC236}">
                <a16:creationId xmlns:a16="http://schemas.microsoft.com/office/drawing/2014/main" id="{00000000-0008-0000-0500-000037000000}"/>
              </a:ext>
            </a:extLst>
          </xdr:cNvPr>
          <xdr:cNvSpPr txBox="1"/>
        </xdr:nvSpPr>
        <xdr:spPr>
          <a:xfrm>
            <a:off x="13093701" y="5777442"/>
            <a:ext cx="1200150" cy="221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III</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1408966</xdr:colOff>
      <xdr:row>0</xdr:row>
      <xdr:rowOff>428625</xdr:rowOff>
    </xdr:to>
    <xdr:pic>
      <xdr:nvPicPr>
        <xdr:cNvPr id="2" name="VBA_LogoBNEF">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2743200</xdr:colOff>
          <xdr:row>8</xdr:row>
          <xdr:rowOff>28575</xdr:rowOff>
        </xdr:from>
        <xdr:to>
          <xdr:col>3</xdr:col>
          <xdr:colOff>3524250</xdr:colOff>
          <xdr:row>8</xdr:row>
          <xdr:rowOff>238125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2733675</xdr:colOff>
          <xdr:row>1</xdr:row>
          <xdr:rowOff>28575</xdr:rowOff>
        </xdr:from>
        <xdr:to>
          <xdr:col>3</xdr:col>
          <xdr:colOff>3514725</xdr:colOff>
          <xdr:row>1</xdr:row>
          <xdr:rowOff>238125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2457450</xdr:colOff>
          <xdr:row>8</xdr:row>
          <xdr:rowOff>47625</xdr:rowOff>
        </xdr:from>
        <xdr:to>
          <xdr:col>5</xdr:col>
          <xdr:colOff>3762375</xdr:colOff>
          <xdr:row>9</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Install in workbook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3</xdr:col>
      <xdr:colOff>189766</xdr:colOff>
      <xdr:row>0</xdr:row>
      <xdr:rowOff>428625</xdr:rowOff>
    </xdr:to>
    <xdr:pic>
      <xdr:nvPicPr>
        <xdr:cNvPr id="2" name="VBA_LogoBNEF">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50800</xdr:colOff>
      <xdr:row>0</xdr:row>
      <xdr:rowOff>63500</xdr:rowOff>
    </xdr:from>
    <xdr:to>
      <xdr:col>1</xdr:col>
      <xdr:colOff>826225</xdr:colOff>
      <xdr:row>0</xdr:row>
      <xdr:rowOff>443128</xdr:rowOff>
    </xdr:to>
    <xdr:pic>
      <xdr:nvPicPr>
        <xdr:cNvPr id="2" name="VBA_LogoBNEF">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50800" y="63500"/>
          <a:ext cx="1524725" cy="379628"/>
        </a:xfrm>
        <a:prstGeom prst="rect">
          <a:avLst/>
        </a:prstGeom>
        <a:no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9525</xdr:colOff>
      <xdr:row>0</xdr:row>
      <xdr:rowOff>38100</xdr:rowOff>
    </xdr:from>
    <xdr:to>
      <xdr:col>2</xdr:col>
      <xdr:colOff>329466</xdr:colOff>
      <xdr:row>0</xdr:row>
      <xdr:rowOff>434975</xdr:rowOff>
    </xdr:to>
    <xdr:pic>
      <xdr:nvPicPr>
        <xdr:cNvPr id="2" name="VBA_LogoBNEF">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9525" y="38100"/>
          <a:ext cx="2129691" cy="3968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319941</xdr:colOff>
      <xdr:row>0</xdr:row>
      <xdr:rowOff>434975</xdr:rowOff>
    </xdr:to>
    <xdr:pic>
      <xdr:nvPicPr>
        <xdr:cNvPr id="2" name="VBA_LogoBNEF">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218591" cy="3968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319941</xdr:colOff>
      <xdr:row>0</xdr:row>
      <xdr:rowOff>434975</xdr:rowOff>
    </xdr:to>
    <xdr:pic>
      <xdr:nvPicPr>
        <xdr:cNvPr id="2" name="VBA_LogoBNEF">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218591" cy="3968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313591</xdr:colOff>
      <xdr:row>0</xdr:row>
      <xdr:rowOff>428625</xdr:rowOff>
    </xdr:to>
    <xdr:pic>
      <xdr:nvPicPr>
        <xdr:cNvPr id="2" name="VBA_LogoBNEF">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212241" cy="3905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313591</xdr:colOff>
      <xdr:row>0</xdr:row>
      <xdr:rowOff>428625</xdr:rowOff>
    </xdr:to>
    <xdr:pic>
      <xdr:nvPicPr>
        <xdr:cNvPr id="2" name="VBA_LogoBNEF">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212241" cy="39052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Gomes-Callus, Ellie" id="{A47D9B00-2F35-489A-B977-4E5A5DB49023}" userId="Gomes-Callus, Ellie" providerId="None"/>
</personList>
</file>

<file path=xl/theme/theme1.xml><?xml version="1.0" encoding="utf-8"?>
<a:theme xmlns:a="http://schemas.openxmlformats.org/drawingml/2006/main" name="Office Theme">
  <a:themeElements>
    <a:clrScheme name="BNEF2017">
      <a:dk1>
        <a:srgbClr val="000000"/>
      </a:dk1>
      <a:lt1>
        <a:srgbClr val="FFFFFF"/>
      </a:lt1>
      <a:dk2>
        <a:srgbClr val="FFFFFF"/>
      </a:dk2>
      <a:lt2>
        <a:srgbClr val="FFFFFF"/>
      </a:lt2>
      <a:accent1>
        <a:srgbClr val="00AEE5"/>
      </a:accent1>
      <a:accent2>
        <a:srgbClr val="7654A3"/>
      </a:accent2>
      <a:accent3>
        <a:srgbClr val="43BEAD"/>
      </a:accent3>
      <a:accent4>
        <a:srgbClr val="FFE838"/>
      </a:accent4>
      <a:accent5>
        <a:srgbClr val="ED3124"/>
      </a:accent5>
      <a:accent6>
        <a:srgbClr val="19B24E"/>
      </a:accent6>
      <a:hlink>
        <a:srgbClr val="000000"/>
      </a:hlink>
      <a:folHlink>
        <a:srgbClr val="00000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Y13" dT="2023-11-27T14:37:48.19" personId="{A47D9B00-2F35-489A-B977-4E5A5DB49023}" id="{BA2EFCA0-FF34-403C-A113-D75D4E0E4032}">
    <text>Note: Uses measured resource from PFS (0.64 Mt LCE) and converts it to contained metal (0.188). Source: European Metals. Link: https://www.investi.com.au/api/announcements/emh/7381a65f-d0b.pdf</text>
  </threadedComment>
  <threadedComment ref="BU13" dT="2023-11-23T14:18:31.54" personId="{A47D9B00-2F35-489A-B977-4E5A5DB49023}" id="{49CB1463-7710-4C8B-AB6D-A8CD1BF04838}">
    <text>Note: Used proven reserves and converted to contained metal. Source: Euro Manganese. Link: https://www.mn25.ca/post/emn-announces-positive-feasibility-study-base-case-results-for-the-chvaletice-manganese-project</text>
  </threadedComment>
  <threadedComment ref="G14" dT="2023-11-23T14:09:01.59" personId="{A47D9B00-2F35-489A-B977-4E5A5DB49023}" id="{C879A981-DC74-4962-9E7B-8EA8A0015983}">
    <text>Note: reserves from USGS 2022.</text>
  </threadedComment>
  <threadedComment ref="AY14" dT="2023-11-27T14:39:27.03" personId="{A47D9B00-2F35-489A-B977-4E5A5DB49023}" id="{754FBB49-8846-43AB-B1EF-5B7DEB9903FE}">
    <text>Note: Keliber DFS lists reserves of 12.7 Mt. This would be even larger than Chile. Converted to contained lithium using ore grade of 0.92% Li2O and conversion factor of 0.464. Source: Sibanye Stillwater. Link: https://thevault.exchange/?get_group_doc=245/1669636132-ssw-presentation-keliber-approval-event-28Nov2022.pdf</text>
  </threadedComment>
  <threadedComment ref="AC16" dT="2023-11-23T14:12:12.98" personId="{A47D9B00-2F35-489A-B977-4E5A5DB49023}" id="{9B36066D-1B27-44DB-AE0B-8A27CAFDC2C9}">
    <text>Note: reserves from USGS 2022.</text>
  </threadedComment>
  <threadedComment ref="AC22" dT="2023-11-23T14:12:36.77" personId="{A47D9B00-2F35-489A-B977-4E5A5DB49023}" id="{2529D475-1BCA-48D8-9451-1052A56FAE35}">
    <text>Removed as per Peng's suggestion.</text>
  </threadedComment>
  <threadedComment ref="AI22" dT="2023-11-23T14:12:55.15" personId="{A47D9B00-2F35-489A-B977-4E5A5DB49023}" id="{66FEDB0F-AE14-407B-B54F-9B5017CE725F}">
    <text>Removed as per Peng's suggestion.</text>
  </threadedComment>
  <threadedComment ref="AY23" dT="2023-11-23T14:15:38.44" personId="{A47D9B00-2F35-489A-B977-4E5A5DB49023}" id="{C9705433-00B9-40B1-9D29-6ABF187B1B83}">
    <text>Note: Estimated reserves of 0.5MT (KA). Cornish Lithium project is only at the scoping stage. No mention of reserves, only resource. Source: Cornish Lithium. Link: https://cornishlithium.com/wp-content/uploads/2023/05/Corp_Overview_May_23_v1.pdf</text>
  </threadedComment>
  <threadedComment ref="AY24" dT="2023-11-23T14:16:37.38" personId="{A47D9B00-2F35-489A-B977-4E5A5DB49023}" id="{AF0B50F2-E45E-439F-B5BB-C05A1C1C5099}">
    <text>Note: Reserves from USGS 2022. Manolo Project link is from 2020. Once you convert to contained lithium, it is only 334,000. Last year's results are better. Link: https://static1.squarespace.com/static/5934d2ae6b8f5beeb5ba23f3/t/5f03fe7b5b6cfa0aa7b7d8ac/1594097315695/20200421+-+DFS+Manono+Lithium+and+Tin+Project+Announcement.pdf.</text>
  </threadedComment>
  <threadedComment ref="BU24" dT="2023-11-27T15:21:35.45" personId="{A47D9B00-2F35-489A-B977-4E5A5DB49023}" id="{6209FEBB-0623-4074-8E00-BBBFADF61373}">
    <text>Source: S&amp;P Global/DRC Chamber of Mines. Link: https://www.spglobal.com/commodityinsights/en/market-insights/latest-news/metals/120120-chinese-dominance-of-drc-mining-sector-increases-economic-dependence-mines-chamber</text>
  </threadedComment>
  <threadedComment ref="G26" dT="2023-11-23T14:09:27.78" personId="{A47D9B00-2F35-489A-B977-4E5A5DB49023}" id="{157607A1-AE8E-4328-BD49-CCE6B33A4F7F}">
    <text>Note: reserves from USGS 2022.</text>
  </threadedComment>
  <threadedComment ref="M26" dT="2023-11-27T12:53:52.35" personId="{A47D9B00-2F35-489A-B977-4E5A5DB49023}" id="{CD74A3D0-0A6D-443C-A2F5-7845F75BBCBB}">
    <text>Note: Byproduct nature of cobalt means it is not officially reported. Estimated to be higher than the US. Source: Business Media. Link: https://businessmediamags.co.za/mining/sa-mining/the-dark-side-of-cobalt-mining/#:~:text=In%202020%2C%20South%20Africa%20produced,roughly%20140%20000%20metric%20tonnes.</text>
  </threadedComment>
  <threadedComment ref="AC27" dT="2023-11-23T14:13:10.61" personId="{A47D9B00-2F35-489A-B977-4E5A5DB49023}" id="{94BCEDE9-30F5-46AC-8B10-F6F99E04508E}">
    <text>Note: reserves from USGS 2022.</text>
  </threadedComment>
  <threadedComment ref="G28" dT="2023-11-23T14:09:48.62" personId="{A47D9B00-2F35-489A-B977-4E5A5DB49023}" id="{E2C5C2DF-BB2E-4EBD-9D16-EBA3C09A17A3}">
    <text>Note: reserves from USGS 2022.</text>
  </threadedComment>
  <threadedComment ref="AY28" dT="2023-11-23T14:16:50.33" personId="{A47D9B00-2F35-489A-B977-4E5A5DB49023}" id="{C454297B-60C9-478E-A70C-0909B7CB90B6}">
    <text>Note: reserves from USGS 2022.</text>
  </threadedComment>
  <threadedComment ref="AC29" dT="2023-11-23T14:13:26.07" personId="{A47D9B00-2F35-489A-B977-4E5A5DB49023}" id="{1DDCB1B4-798E-4091-93D6-502A3F1FCEB2}">
    <text>Note: reserves from USGS 2022.</text>
  </threadedComment>
  <threadedComment ref="BU29" dT="2023-11-23T14:18:13.17" personId="{A47D9B00-2F35-489A-B977-4E5A5DB49023}" id="{79203153-5E43-4082-A0B5-A9F7CA62EC65}">
    <text>Note: Still listed as resources. Because the PFS is complete can we assume reserves? Converted to contained metal. Source: South32. Link: https://www.aspecthuntley.com.au/asxdata/20230526/pdf/02669816.pdf</text>
  </threadedComment>
  <threadedComment ref="G32" dT="2023-11-23T14:10:15.64" personId="{A47D9B00-2F35-489A-B977-4E5A5DB49023}" id="{312B4AEC-C6CA-41CD-850C-B6531A0010FC}">
    <text>Note: reserves from USGS 2022.</text>
  </threadedComment>
  <threadedComment ref="G33" dT="2023-11-27T11:51:57.05" personId="{A47D9B00-2F35-489A-B977-4E5A5DB49023}" id="{03C85FF2-C430-4AF6-8909-59743E508089}">
    <text>Source: CORFO. Link: https://www.corfo.cl/sites/Satellite?blobcol=urldata&amp;blobkey=id&amp;blobtable=MungoBlobs&amp;blobwhere=1475166637554&amp;ssbinary=true</text>
  </threadedComment>
  <threadedComment ref="AC42" dT="2023-11-23T14:14:34.90" personId="{A47D9B00-2F35-489A-B977-4E5A5DB49023}" id="{1E8116E4-BFCF-4B2A-BC0C-3F0374B1F199}">
    <text>Note: reserves from USGS 2022.</text>
  </threadedComment>
</ThreadedComments>
</file>

<file path=xl/threadedComments/threadedComment2.xml><?xml version="1.0" encoding="utf-8"?>
<ThreadedComments xmlns="http://schemas.microsoft.com/office/spreadsheetml/2018/threadedcomments" xmlns:x="http://schemas.openxmlformats.org/spreadsheetml/2006/main">
  <threadedComment ref="AI15" dT="2023-11-01T19:28:05.30" personId="{A47D9B00-2F35-489A-B977-4E5A5DB49023}" id="{E1489270-3D67-46B4-A5E9-B07016CE3A86}">
    <text>Million square meters.</text>
  </threadedComment>
  <threadedComment ref="AL15" dT="2023-11-01T19:28:05.30" personId="{A47D9B00-2F35-489A-B977-4E5A5DB49023}" id="{0F083C32-5645-4AD0-B6A9-049973A5DA92}">
    <text>Million square meters.</text>
  </threadedComment>
</ThreadedComments>
</file>

<file path=xl/threadedComments/threadedComment3.xml><?xml version="1.0" encoding="utf-8"?>
<ThreadedComments xmlns="http://schemas.microsoft.com/office/spreadsheetml/2018/threadedcomments" xmlns:x="http://schemas.openxmlformats.org/spreadsheetml/2006/main">
  <threadedComment ref="AL25" dT="2023-12-04T14:04:31.26" personId="{A47D9B00-2F35-489A-B977-4E5A5DB49023}" id="{91E186EF-D197-4F46-8BBB-BE5D7FE824F5}">
    <text>PROXY: Average of DRC and South Africa.</text>
  </threadedComment>
  <threadedComment ref="AL30" dT="2023-11-16T14:47:53.23" personId="{A47D9B00-2F35-489A-B977-4E5A5DB49023}" id="{4FB6516D-7E5A-44B7-8E62-22408E13C137}">
    <text>PROXY: Average of Bolivia, Brazil and Chile.</text>
  </threadedComment>
  <threadedComment ref="AL36" dT="2023-11-16T14:46:13.97" personId="{A47D9B00-2F35-489A-B977-4E5A5DB49023}" id="{288B634D-9F55-405E-9996-CA7763A5DED6}">
    <text>PROXY: Average of China and Japan.</text>
  </threadedComment>
</ThreadedComments>
</file>

<file path=xl/threadedComments/threadedComment4.xml><?xml version="1.0" encoding="utf-8"?>
<ThreadedComments xmlns="http://schemas.microsoft.com/office/spreadsheetml/2018/threadedcomments" xmlns:x="http://schemas.openxmlformats.org/spreadsheetml/2006/main">
  <threadedComment ref="D23" dT="2023-11-07T20:03:22.86" personId="{A47D9B00-2F35-489A-B977-4E5A5DB49023}" id="{532554AC-F002-4F8A-AF97-04A197DCD95E}">
    <text>PROXY: Average of Northern Ireland and Republic of Ireland.</text>
  </threadedComment>
  <threadedComment ref="P24" dT="2023-11-07T20:46:34.57" personId="{A47D9B00-2F35-489A-B977-4E5A5DB49023}" id="{E29A3FD0-7FB3-48D0-9DBE-ECBC4BE6B4F8}">
    <text>PROXY: Average of all African countries.</text>
  </threadedComment>
  <threadedComment ref="AD24" dT="2023-11-08T18:59:42.01" personId="{A47D9B00-2F35-489A-B977-4E5A5DB49023}" id="{0CBE8586-BA70-40DA-90DD-14A5A513DF28}">
    <text>PROXY: Average of Angola, Cameroon and Cote d'Ivoire.</text>
  </threadedComment>
  <threadedComment ref="AL24" dT="2023-11-08T18:59:54.36" personId="{A47D9B00-2F35-489A-B977-4E5A5DB49023}" id="{2AD216F2-C130-436C-AB8F-86698784FF4E}">
    <text>PROXY: Average of Angola, Cameroon and Cote d'Ivoire.</text>
  </threadedComment>
  <threadedComment ref="AP24" dT="2023-11-08T19:00:01.11" personId="{A47D9B00-2F35-489A-B977-4E5A5DB49023}" id="{DEC745AB-AC41-4667-B881-537B104D3216}">
    <text>PROXY: Average of Angola, Cameroon and Cote d'Ivoire.</text>
  </threadedComment>
  <threadedComment ref="AT24" dT="2023-11-08T19:00:05.97" personId="{A47D9B00-2F35-489A-B977-4E5A5DB49023}" id="{2273268E-E48B-4A5C-89C0-5D926734C16D}">
    <text>PROXY: Average of Angola, Cameroon and Cote d'Ivoire.</text>
  </threadedComment>
  <threadedComment ref="P31" dT="2023-11-07T20:47:02.09" personId="{A47D9B00-2F35-489A-B977-4E5A5DB49023}" id="{12EB1E7C-8834-4EFF-9D3B-2EEB288C7317}">
    <text>PROXY: Average of all South American countries.</text>
  </threadedComment>
  <threadedComment ref="AT31" dT="2023-11-08T18:53:11.98" personId="{A47D9B00-2F35-489A-B977-4E5A5DB49023}" id="{D7717482-3412-4292-A208-D6E4A4498AA0}">
    <text>PROXY: Average of Argentina, Brazil and Chile.</text>
  </threadedComment>
  <threadedComment ref="AT34" dT="2023-11-08T18:53:53.72" personId="{A47D9B00-2F35-489A-B977-4E5A5DB49023}" id="{AEABA53D-FF8D-46A8-B5CB-A1786E943A51}">
    <text>SOURCE: https://cset.georgetown.edu/article/the-global-distribution-of-stem-graduates-which-countries-lead-the-way/.</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pport.bnef@bloomberg.net"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stats.oecd.org/Index.aspx?datasetcode=FDIINDEX" TargetMode="External"/><Relationship Id="rId13" Type="http://schemas.openxmlformats.org/officeDocument/2006/relationships/hyperlink" Target="https://www.bnef.com/flagships/new-energy-outlook" TargetMode="External"/><Relationship Id="rId18" Type="http://schemas.openxmlformats.org/officeDocument/2006/relationships/hyperlink" Target="https://www.bnef.com/core/insights/21113" TargetMode="External"/><Relationship Id="rId3" Type="http://schemas.openxmlformats.org/officeDocument/2006/relationships/hyperlink" Target="https://data.oecd.org/rd/gross-domestic-spending-on-r-d.htm" TargetMode="External"/><Relationship Id="rId7" Type="http://schemas.openxmlformats.org/officeDocument/2006/relationships/hyperlink" Target="https://www.globalinnovationindex.org/gii-2019-report" TargetMode="External"/><Relationship Id="rId12" Type="http://schemas.openxmlformats.org/officeDocument/2006/relationships/hyperlink" Target="https://epi.yale.edu/epi-results/2020/component/ecs" TargetMode="External"/><Relationship Id="rId17" Type="http://schemas.openxmlformats.org/officeDocument/2006/relationships/hyperlink" Target="https://www.bnef.com/flagships/ev-outlook" TargetMode="External"/><Relationship Id="rId2" Type="http://schemas.openxmlformats.org/officeDocument/2006/relationships/hyperlink" Target="https://www.bnef.com/core/country-profiles/GBR" TargetMode="External"/><Relationship Id="rId16" Type="http://schemas.openxmlformats.org/officeDocument/2006/relationships/hyperlink" Target="https://www.bnef.com/flagships/ev-outlook" TargetMode="External"/><Relationship Id="rId1" Type="http://schemas.openxmlformats.org/officeDocument/2006/relationships/hyperlink" Target="https://www.wri.org/aqueduct" TargetMode="External"/><Relationship Id="rId6" Type="http://schemas.openxmlformats.org/officeDocument/2006/relationships/hyperlink" Target="https://databank.worldbank.org/indicator/UIS.EA.7.AG25T99?id=c755d342&amp;report_name=EdStats_Indicators_Report&amp;populartype=series" TargetMode="External"/><Relationship Id="rId11" Type="http://schemas.openxmlformats.org/officeDocument/2006/relationships/hyperlink" Target="https://epi.yale.edu/epi-results/2020/component/ecs" TargetMode="External"/><Relationship Id="rId5" Type="http://schemas.openxmlformats.org/officeDocument/2006/relationships/hyperlink" Target="https://www.fraserinstitute.org/sites/default/files/annual-survey-of-mining-companies-2019.pdf" TargetMode="External"/><Relationship Id="rId15" Type="http://schemas.openxmlformats.org/officeDocument/2006/relationships/hyperlink" Target="https://global-climatescope.org/" TargetMode="External"/><Relationship Id="rId10" Type="http://schemas.openxmlformats.org/officeDocument/2006/relationships/hyperlink" Target="https://data.worldbank.org/indicator/IC.BUS.EASE.XQU" TargetMode="External"/><Relationship Id="rId19" Type="http://schemas.openxmlformats.org/officeDocument/2006/relationships/drawing" Target="../drawings/drawing4.xml"/><Relationship Id="rId4" Type="http://schemas.openxmlformats.org/officeDocument/2006/relationships/hyperlink" Target="https://lpi.worldbank.org/international/global?sort=asc&amp;order=Infrastructure" TargetMode="External"/><Relationship Id="rId9" Type="http://schemas.openxmlformats.org/officeDocument/2006/relationships/hyperlink" Target="https://www.heritage.org/index/explore" TargetMode="External"/><Relationship Id="rId14" Type="http://schemas.openxmlformats.org/officeDocument/2006/relationships/hyperlink" Target="https://global-climatescope.org/"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WVI48"/>
  <sheetViews>
    <sheetView showGridLines="0" showRowColHeaders="0" tabSelected="1" zoomScaleNormal="100" zoomScalePageLayoutView="200" workbookViewId="0">
      <selection activeCell="A2" sqref="A2"/>
    </sheetView>
  </sheetViews>
  <sheetFormatPr defaultColWidth="0" defaultRowHeight="12.75" zeroHeight="1"/>
  <cols>
    <col min="1" max="1" width="2.7109375" style="1" customWidth="1"/>
    <col min="2" max="2" width="1.28515625" style="1" customWidth="1"/>
    <col min="3" max="3" width="9.85546875" style="2" customWidth="1"/>
    <col min="4" max="4" width="6.5703125" style="1" customWidth="1"/>
    <col min="5" max="5" width="64" style="3" customWidth="1"/>
    <col min="6" max="6" width="1.28515625" style="1" customWidth="1"/>
    <col min="7" max="256" width="8.85546875" style="1" hidden="1"/>
    <col min="257" max="257" width="9" style="1" hidden="1"/>
    <col min="258" max="512" width="8.85546875" style="1" hidden="1"/>
    <col min="513" max="513" width="9" style="1" hidden="1"/>
    <col min="514" max="768" width="8.85546875" style="1" hidden="1"/>
    <col min="769" max="769" width="9" style="1" hidden="1"/>
    <col min="770" max="1024" width="8.85546875" style="1" hidden="1"/>
    <col min="1025" max="1025" width="9" style="1" hidden="1"/>
    <col min="1026" max="1280" width="8.85546875" style="1" hidden="1"/>
    <col min="1281" max="1281" width="9" style="1" hidden="1"/>
    <col min="1282" max="1536" width="8.85546875" style="1" hidden="1"/>
    <col min="1537" max="1537" width="9" style="1" hidden="1"/>
    <col min="1538" max="1792" width="8.85546875" style="1" hidden="1"/>
    <col min="1793" max="1793" width="9" style="1" hidden="1"/>
    <col min="1794" max="2048" width="8.85546875" style="1" hidden="1"/>
    <col min="2049" max="2049" width="9" style="1" hidden="1"/>
    <col min="2050" max="2304" width="8.85546875" style="1" hidden="1"/>
    <col min="2305" max="2305" width="9" style="1" hidden="1"/>
    <col min="2306" max="2560" width="8.85546875" style="1" hidden="1"/>
    <col min="2561" max="2561" width="9" style="1" hidden="1"/>
    <col min="2562" max="2816" width="8.85546875" style="1" hidden="1"/>
    <col min="2817" max="2817" width="9" style="1" hidden="1"/>
    <col min="2818" max="3072" width="8.85546875" style="1" hidden="1"/>
    <col min="3073" max="3073" width="9" style="1" hidden="1"/>
    <col min="3074" max="3328" width="8.85546875" style="1" hidden="1"/>
    <col min="3329" max="3329" width="9" style="1" hidden="1"/>
    <col min="3330" max="3584" width="8.85546875" style="1" hidden="1"/>
    <col min="3585" max="3585" width="9" style="1" hidden="1"/>
    <col min="3586" max="3840" width="8.85546875" style="1" hidden="1"/>
    <col min="3841" max="3841" width="9" style="1" hidden="1"/>
    <col min="3842" max="4096" width="8.85546875" style="1" hidden="1"/>
    <col min="4097" max="4097" width="9" style="1" hidden="1"/>
    <col min="4098" max="4352" width="8.85546875" style="1" hidden="1"/>
    <col min="4353" max="4353" width="9" style="1" hidden="1"/>
    <col min="4354" max="4608" width="8.85546875" style="1" hidden="1"/>
    <col min="4609" max="4609" width="9" style="1" hidden="1"/>
    <col min="4610" max="4864" width="8.85546875" style="1" hidden="1"/>
    <col min="4865" max="4865" width="9" style="1" hidden="1"/>
    <col min="4866" max="5120" width="8.85546875" style="1" hidden="1"/>
    <col min="5121" max="5121" width="9" style="1" hidden="1"/>
    <col min="5122" max="5376" width="8.85546875" style="1" hidden="1"/>
    <col min="5377" max="5377" width="9" style="1" hidden="1"/>
    <col min="5378" max="5632" width="8.85546875" style="1" hidden="1"/>
    <col min="5633" max="5633" width="9" style="1" hidden="1"/>
    <col min="5634" max="5888" width="8.85546875" style="1" hidden="1"/>
    <col min="5889" max="5889" width="9" style="1" hidden="1"/>
    <col min="5890" max="6144" width="8.85546875" style="1" hidden="1"/>
    <col min="6145" max="6145" width="9" style="1" hidden="1"/>
    <col min="6146" max="6400" width="8.85546875" style="1" hidden="1"/>
    <col min="6401" max="6401" width="9" style="1" hidden="1"/>
    <col min="6402" max="6656" width="8.85546875" style="1" hidden="1"/>
    <col min="6657" max="6657" width="9" style="1" hidden="1"/>
    <col min="6658" max="6912" width="8.85546875" style="1" hidden="1"/>
    <col min="6913" max="6913" width="9" style="1" hidden="1"/>
    <col min="6914" max="7168" width="8.85546875" style="1" hidden="1"/>
    <col min="7169" max="7169" width="9" style="1" hidden="1"/>
    <col min="7170" max="7424" width="8.85546875" style="1" hidden="1"/>
    <col min="7425" max="7425" width="9" style="1" hidden="1"/>
    <col min="7426" max="7680" width="8.85546875" style="1" hidden="1"/>
    <col min="7681" max="7681" width="9" style="1" hidden="1"/>
    <col min="7682" max="7936" width="8.85546875" style="1" hidden="1"/>
    <col min="7937" max="7937" width="9" style="1" hidden="1"/>
    <col min="7938" max="8192" width="8.85546875" style="1" hidden="1"/>
    <col min="8193" max="8193" width="9" style="1" hidden="1"/>
    <col min="8194" max="8448" width="8.85546875" style="1" hidden="1"/>
    <col min="8449" max="8449" width="9" style="1" hidden="1"/>
    <col min="8450" max="8704" width="8.85546875" style="1" hidden="1"/>
    <col min="8705" max="8705" width="9" style="1" hidden="1"/>
    <col min="8706" max="8960" width="8.85546875" style="1" hidden="1"/>
    <col min="8961" max="8961" width="9" style="1" hidden="1"/>
    <col min="8962" max="9216" width="8.85546875" style="1" hidden="1"/>
    <col min="9217" max="9217" width="9" style="1" hidden="1"/>
    <col min="9218" max="9472" width="8.85546875" style="1" hidden="1"/>
    <col min="9473" max="9473" width="9" style="1" hidden="1"/>
    <col min="9474" max="9728" width="8.85546875" style="1" hidden="1"/>
    <col min="9729" max="9729" width="9" style="1" hidden="1"/>
    <col min="9730" max="9984" width="8.85546875" style="1" hidden="1"/>
    <col min="9985" max="9985" width="9" style="1" hidden="1"/>
    <col min="9986" max="10240" width="8.85546875" style="1" hidden="1"/>
    <col min="10241" max="10241" width="9" style="1" hidden="1"/>
    <col min="10242" max="10496" width="8.85546875" style="1" hidden="1"/>
    <col min="10497" max="10497" width="9" style="1" hidden="1"/>
    <col min="10498" max="10752" width="8.85546875" style="1" hidden="1"/>
    <col min="10753" max="10753" width="9" style="1" hidden="1"/>
    <col min="10754" max="11008" width="8.85546875" style="1" hidden="1"/>
    <col min="11009" max="11009" width="9" style="1" hidden="1"/>
    <col min="11010" max="11264" width="8.85546875" style="1" hidden="1"/>
    <col min="11265" max="11265" width="9" style="1" hidden="1"/>
    <col min="11266" max="11520" width="8.85546875" style="1" hidden="1"/>
    <col min="11521" max="11521" width="9" style="1" hidden="1"/>
    <col min="11522" max="11776" width="8.85546875" style="1" hidden="1"/>
    <col min="11777" max="11777" width="9" style="1" hidden="1"/>
    <col min="11778" max="12032" width="8.85546875" style="1" hidden="1"/>
    <col min="12033" max="12033" width="9" style="1" hidden="1"/>
    <col min="12034" max="12288" width="8.85546875" style="1" hidden="1"/>
    <col min="12289" max="12289" width="9" style="1" hidden="1"/>
    <col min="12290" max="12544" width="8.85546875" style="1" hidden="1"/>
    <col min="12545" max="12545" width="9" style="1" hidden="1"/>
    <col min="12546" max="12800" width="8.85546875" style="1" hidden="1"/>
    <col min="12801" max="12801" width="9" style="1" hidden="1"/>
    <col min="12802" max="13056" width="8.85546875" style="1" hidden="1"/>
    <col min="13057" max="13057" width="9" style="1" hidden="1"/>
    <col min="13058" max="13312" width="8.85546875" style="1" hidden="1"/>
    <col min="13313" max="13313" width="9" style="1" hidden="1"/>
    <col min="13314" max="13568" width="8.85546875" style="1" hidden="1"/>
    <col min="13569" max="13569" width="9" style="1" hidden="1"/>
    <col min="13570" max="13824" width="8.85546875" style="1" hidden="1"/>
    <col min="13825" max="13825" width="9" style="1" hidden="1"/>
    <col min="13826" max="14080" width="8.85546875" style="1" hidden="1"/>
    <col min="14081" max="14081" width="9" style="1" hidden="1"/>
    <col min="14082" max="14336" width="8.85546875" style="1" hidden="1"/>
    <col min="14337" max="14337" width="9" style="1" hidden="1"/>
    <col min="14338" max="14592" width="8.85546875" style="1" hidden="1"/>
    <col min="14593" max="14593" width="9" style="1" hidden="1"/>
    <col min="14594" max="14848" width="8.85546875" style="1" hidden="1"/>
    <col min="14849" max="14849" width="9" style="1" hidden="1"/>
    <col min="14850" max="15104" width="8.85546875" style="1" hidden="1"/>
    <col min="15105" max="15105" width="9" style="1" hidden="1"/>
    <col min="15106" max="15360" width="8.85546875" style="1" hidden="1"/>
    <col min="15361" max="15361" width="9" style="1" hidden="1"/>
    <col min="15362" max="15616" width="8.85546875" style="1" hidden="1"/>
    <col min="15617" max="15617" width="9" style="1" hidden="1"/>
    <col min="15618" max="15872" width="8.85546875" style="1" hidden="1"/>
    <col min="15873" max="15873" width="9" style="1" hidden="1"/>
    <col min="15874" max="16128" width="8.85546875" style="1" hidden="1"/>
    <col min="16129" max="16129" width="9" style="1" hidden="1"/>
    <col min="16130" max="16384" width="8.85546875" style="1" hidden="1"/>
  </cols>
  <sheetData>
    <row r="1" spans="1:22"/>
    <row r="2" spans="1:22" ht="65.25" customHeight="1">
      <c r="A2" s="48"/>
      <c r="B2" s="27"/>
      <c r="C2" s="27"/>
      <c r="D2" s="27"/>
      <c r="E2" s="27"/>
      <c r="F2" s="28"/>
      <c r="G2" s="4"/>
      <c r="H2" s="4"/>
      <c r="I2" s="4"/>
      <c r="J2" s="4"/>
      <c r="K2" s="4"/>
      <c r="L2" s="4"/>
      <c r="M2" s="4"/>
      <c r="N2" s="4"/>
      <c r="O2" s="4"/>
      <c r="P2" s="4"/>
      <c r="Q2" s="4"/>
      <c r="R2" s="4"/>
      <c r="S2" s="4"/>
      <c r="T2" s="4"/>
      <c r="U2" s="4"/>
      <c r="V2" s="4"/>
    </row>
    <row r="3" spans="1:22" ht="45.95" customHeight="1">
      <c r="C3" s="32"/>
    </row>
    <row r="4" spans="1:22" ht="31.5">
      <c r="C4" s="36" t="s">
        <v>19</v>
      </c>
      <c r="D4" s="5"/>
      <c r="E4" s="585" t="s">
        <v>668</v>
      </c>
    </row>
    <row r="5" spans="1:22">
      <c r="C5" s="29"/>
    </row>
    <row r="6" spans="1:22">
      <c r="C6" s="37"/>
    </row>
    <row r="7" spans="1:22">
      <c r="C7" s="29"/>
      <c r="E7" s="33"/>
    </row>
    <row r="8" spans="1:22">
      <c r="C8" s="37" t="s">
        <v>15</v>
      </c>
      <c r="E8" s="230" t="s">
        <v>678</v>
      </c>
    </row>
    <row r="9" spans="1:22">
      <c r="C9" s="37"/>
    </row>
    <row r="10" spans="1:22">
      <c r="C10" s="37" t="s">
        <v>652</v>
      </c>
      <c r="E10" s="3" t="s">
        <v>653</v>
      </c>
    </row>
    <row r="11" spans="1:22">
      <c r="C11" s="37"/>
    </row>
    <row r="12" spans="1:22">
      <c r="C12" s="38" t="s">
        <v>16</v>
      </c>
      <c r="D12" s="7"/>
      <c r="E12" s="8" t="s">
        <v>230</v>
      </c>
    </row>
    <row r="13" spans="1:22">
      <c r="C13" s="38"/>
      <c r="D13" s="7"/>
      <c r="E13" s="9" t="s">
        <v>31</v>
      </c>
    </row>
    <row r="14" spans="1:22">
      <c r="C14" s="30"/>
      <c r="D14" s="7"/>
      <c r="E14" s="47" t="s">
        <v>30</v>
      </c>
    </row>
    <row r="15" spans="1:22">
      <c r="C15" s="30"/>
      <c r="D15" s="7"/>
      <c r="E15" s="10"/>
    </row>
    <row r="16" spans="1:22" ht="95.25" customHeight="1">
      <c r="C16" s="38" t="s">
        <v>17</v>
      </c>
      <c r="D16" s="7"/>
      <c r="E16" s="586" t="s">
        <v>667</v>
      </c>
    </row>
    <row r="17" spans="2:6">
      <c r="C17" s="31"/>
      <c r="E17" s="1"/>
    </row>
    <row r="18" spans="2:6" ht="17.25" customHeight="1">
      <c r="C18" s="38" t="s">
        <v>18</v>
      </c>
      <c r="D18" s="7"/>
      <c r="E18" s="8"/>
    </row>
    <row r="19" spans="2:6">
      <c r="C19" s="44" t="s">
        <v>623</v>
      </c>
      <c r="D19" s="11"/>
      <c r="E19" s="587" t="s">
        <v>631</v>
      </c>
    </row>
    <row r="20" spans="2:6">
      <c r="C20" s="44" t="s">
        <v>495</v>
      </c>
      <c r="D20" s="11"/>
      <c r="E20" s="587" t="s">
        <v>632</v>
      </c>
    </row>
    <row r="21" spans="2:6">
      <c r="C21" s="44" t="s">
        <v>624</v>
      </c>
      <c r="D21" s="11"/>
      <c r="E21" s="587" t="s">
        <v>633</v>
      </c>
    </row>
    <row r="22" spans="2:6">
      <c r="C22" s="44"/>
      <c r="D22" s="11"/>
      <c r="E22" s="587"/>
    </row>
    <row r="23" spans="2:6">
      <c r="C23" s="44"/>
      <c r="D23" s="11"/>
      <c r="E23" s="12"/>
    </row>
    <row r="24" spans="2:6">
      <c r="C24" s="44"/>
      <c r="D24" s="11"/>
      <c r="E24" s="12"/>
    </row>
    <row r="25" spans="2:6" ht="17.25" customHeight="1">
      <c r="C25" s="6"/>
      <c r="D25" s="13"/>
      <c r="E25" s="9"/>
    </row>
    <row r="26" spans="2:6" ht="4.5" customHeight="1">
      <c r="B26" s="25"/>
      <c r="C26" s="14"/>
      <c r="D26" s="15"/>
      <c r="E26" s="16"/>
      <c r="F26" s="25"/>
    </row>
    <row r="27" spans="2:6" ht="354.75" customHeight="1">
      <c r="B27" s="25"/>
      <c r="C27" s="49" t="s">
        <v>38</v>
      </c>
      <c r="D27" s="17"/>
      <c r="E27" s="18" t="s">
        <v>475</v>
      </c>
      <c r="F27" s="25"/>
    </row>
    <row r="28" spans="2:6" ht="3.75" customHeight="1">
      <c r="B28" s="25"/>
      <c r="C28" s="26"/>
      <c r="D28" s="15"/>
      <c r="E28" s="26"/>
      <c r="F28" s="25"/>
    </row>
    <row r="29" spans="2:6" hidden="1">
      <c r="B29" s="19"/>
      <c r="C29" s="19"/>
      <c r="D29" s="13"/>
      <c r="E29" s="10"/>
      <c r="F29" s="19"/>
    </row>
    <row r="34" spans="3:5">
      <c r="C34" s="38" t="s">
        <v>324</v>
      </c>
    </row>
    <row r="35" spans="3:5" ht="25.5">
      <c r="C35" s="653"/>
      <c r="D35" s="654" t="s">
        <v>625</v>
      </c>
      <c r="E35" s="655" t="s">
        <v>674</v>
      </c>
    </row>
    <row r="36" spans="3:5" ht="25.5">
      <c r="C36" s="656"/>
      <c r="D36" s="657" t="s">
        <v>670</v>
      </c>
      <c r="E36" s="658" t="s">
        <v>673</v>
      </c>
    </row>
    <row r="37" spans="3:5">
      <c r="C37" s="656"/>
      <c r="D37" s="657" t="s">
        <v>671</v>
      </c>
      <c r="E37" s="657" t="s">
        <v>672</v>
      </c>
    </row>
    <row r="38" spans="3:5">
      <c r="D38" s="651"/>
      <c r="E38" s="651"/>
    </row>
    <row r="39" spans="3:5"/>
    <row r="40" spans="3:5"/>
    <row r="41" spans="3:5"/>
    <row r="42" spans="3:5"/>
    <row r="43" spans="3:5"/>
    <row r="44" spans="3:5"/>
    <row r="45" spans="3:5"/>
    <row r="46" spans="3:5"/>
    <row r="47" spans="3:5"/>
    <row r="48" spans="3:5"/>
  </sheetData>
  <sheetProtection algorithmName="SHA-512" hashValue="tzPhgYFX6dObrvK9nsZAg8EYlMxruwtVlqorhNsTSpKHkwZDgTLaKUXw5KTqSRWvBNuhJANqikw8p71G2Q45Rw==" saltValue="5zNvuBXkttYoVX1WMSxSFQ==" spinCount="100000" sheet="1" objects="1" scenarios="1" formatCells="0"/>
  <phoneticPr fontId="57" type="noConversion"/>
  <hyperlinks>
    <hyperlink ref="E14" r:id="rId1" xr:uid="{00000000-0004-0000-0000-000000000000}"/>
    <hyperlink ref="C19" location="'Metrics'!A1" display="Metrics" xr:uid="{47C959D1-C6FD-4FB4-B6C6-379F1A5FCB3B}"/>
    <hyperlink ref="C20" location="'Weighting'!A1" display="Weighting" xr:uid="{AE367B8B-6767-42F3-AE3A-44AEB0008183}"/>
    <hyperlink ref="C21" location="'Sources'!A1" display="Sources" xr:uid="{CCF79572-6234-4D6A-9F8C-1D1CFE606BA7}"/>
  </hyperlinks>
  <printOptions horizontalCentered="1"/>
  <pageMargins left="0.55118110236220474" right="0.59055118110236227" top="0.62992125984251968" bottom="0.62992125984251968" header="0.51181102362204722" footer="0.51181102362204722"/>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AG166"/>
  <sheetViews>
    <sheetView showGridLines="0" zoomScale="70" zoomScaleNormal="70" workbookViewId="0">
      <pane ySplit="42" topLeftCell="A43" activePane="bottomLeft" state="frozen"/>
      <selection pane="bottomLeft" activeCell="A2" sqref="A2"/>
    </sheetView>
  </sheetViews>
  <sheetFormatPr defaultColWidth="9.140625" defaultRowHeight="12.75"/>
  <cols>
    <col min="1" max="1" width="13.7109375" style="21" customWidth="1"/>
    <col min="2" max="2" width="20" style="21" customWidth="1"/>
    <col min="3" max="3" width="18.7109375" style="21" customWidth="1"/>
    <col min="4" max="4" width="17.42578125" style="21" customWidth="1"/>
    <col min="5" max="5" width="19" style="21" customWidth="1"/>
    <col min="6" max="6" width="15.28515625" style="21" customWidth="1"/>
    <col min="7" max="7" width="16.140625" style="21" customWidth="1"/>
    <col min="8" max="8" width="37.7109375" style="21" customWidth="1"/>
    <col min="9" max="9" width="21.85546875" style="57" customWidth="1"/>
    <col min="10" max="10" width="14.28515625" style="21" customWidth="1"/>
    <col min="11" max="16" width="14.42578125" style="21" customWidth="1"/>
    <col min="17" max="17" width="16.7109375" style="21" customWidth="1"/>
    <col min="18" max="18" width="15.140625" style="21" customWidth="1"/>
    <col min="19" max="21" width="9.140625" style="21" customWidth="1"/>
    <col min="22" max="22" width="14.85546875" style="21" customWidth="1"/>
    <col min="23" max="35" width="9.140625" style="21" customWidth="1"/>
    <col min="36" max="16384" width="9.140625" style="21"/>
  </cols>
  <sheetData>
    <row r="1" spans="1:33" s="35" customFormat="1" ht="38.1" customHeight="1">
      <c r="I1" s="117"/>
    </row>
    <row r="2" spans="1:33" s="34" customFormat="1">
      <c r="A2" s="259" t="s">
        <v>265</v>
      </c>
      <c r="I2" s="118"/>
    </row>
    <row r="3" spans="1:33">
      <c r="R3" s="21" t="str">
        <f>IF(S4=T4,R6,R7)</f>
        <v>Country performance - Mexico 2023 vs South Korea 2023</v>
      </c>
      <c r="T3" s="34"/>
      <c r="W3" s="34"/>
    </row>
    <row r="4" spans="1:33">
      <c r="B4" s="86" t="s">
        <v>23</v>
      </c>
      <c r="C4" s="218" t="s">
        <v>12</v>
      </c>
      <c r="D4" s="218" t="s">
        <v>14</v>
      </c>
      <c r="R4" s="121" t="s">
        <v>219</v>
      </c>
      <c r="S4" s="21" t="str">
        <f>str_Country</f>
        <v>Mexico</v>
      </c>
      <c r="T4" s="21" t="str">
        <f>D4</f>
        <v>South Korea</v>
      </c>
      <c r="U4" s="233">
        <f ca="1">MATCH(str_Country,dynamicRange_Countries,0)</f>
        <v>16</v>
      </c>
      <c r="V4" s="233">
        <f ca="1">MATCH(D4,dynamicRange_Countries,0)</f>
        <v>24</v>
      </c>
      <c r="W4" s="34"/>
      <c r="AD4" s="21">
        <f ca="1">int_Country_Offset</f>
        <v>16</v>
      </c>
      <c r="AE4" s="21">
        <f ca="1">int_Country_Offset</f>
        <v>16</v>
      </c>
      <c r="AF4" s="51">
        <f ca="1">$V$4</f>
        <v>24</v>
      </c>
      <c r="AG4" s="51">
        <f ca="1">$V$4</f>
        <v>24</v>
      </c>
    </row>
    <row r="5" spans="1:33">
      <c r="B5" s="86" t="s">
        <v>187</v>
      </c>
      <c r="C5" s="218">
        <v>2023</v>
      </c>
      <c r="D5" s="218">
        <v>2023</v>
      </c>
      <c r="R5" s="121" t="s">
        <v>220</v>
      </c>
      <c r="S5" s="21">
        <f>int_DisplayYear_DB</f>
        <v>2023</v>
      </c>
      <c r="T5" s="21">
        <f>D5</f>
        <v>2023</v>
      </c>
      <c r="U5" s="233">
        <f>IF(int_DisplayYear_DB=2022,0,1)</f>
        <v>1</v>
      </c>
      <c r="V5" s="21">
        <f>IF(D5=2022,0,1)</f>
        <v>1</v>
      </c>
      <c r="W5" s="34"/>
      <c r="AD5" s="21">
        <f>int_Year_Offset</f>
        <v>1</v>
      </c>
      <c r="AE5" s="21">
        <f>int_Year_Offset</f>
        <v>1</v>
      </c>
      <c r="AF5" s="51">
        <f>$V$5</f>
        <v>1</v>
      </c>
      <c r="AG5" s="51">
        <f>$V$5</f>
        <v>1</v>
      </c>
    </row>
    <row r="6" spans="1:33">
      <c r="B6" s="86"/>
      <c r="R6" s="232" t="str">
        <f>"Country performance - "&amp;str_Country&amp;", " &amp;S5&amp;" vs "&amp;T5</f>
        <v>Country performance - Mexico, 2023 vs 2023</v>
      </c>
      <c r="T6" s="34"/>
      <c r="W6" s="34"/>
    </row>
    <row r="7" spans="1:33" ht="20.25">
      <c r="B7" s="41" t="s">
        <v>473</v>
      </c>
      <c r="C7" s="42"/>
      <c r="D7" s="42"/>
      <c r="E7" s="42"/>
      <c r="R7" s="232" t="str">
        <f>"Country performance - "&amp;S4&amp;" "&amp;S5&amp;" vs "&amp;T4&amp;" "&amp;T5</f>
        <v>Country performance - Mexico 2023 vs South Korea 2023</v>
      </c>
    </row>
    <row r="8" spans="1:33">
      <c r="B8" s="532" t="s">
        <v>190</v>
      </c>
      <c r="C8" s="533" t="s">
        <v>476</v>
      </c>
      <c r="D8" s="533" t="s">
        <v>280</v>
      </c>
      <c r="E8" s="533" t="s">
        <v>474</v>
      </c>
      <c r="R8" s="232"/>
    </row>
    <row r="9" spans="1:33">
      <c r="B9" s="534" t="s">
        <v>79</v>
      </c>
      <c r="C9" s="536" t="s">
        <v>34</v>
      </c>
      <c r="D9" s="537">
        <v>0.2</v>
      </c>
      <c r="E9" s="276">
        <f t="shared" ref="E9:E28" si="0">SUMIFS($D$9:$D$28,$B$9:$B$28,$B9)</f>
        <v>1</v>
      </c>
      <c r="H9" s="34"/>
    </row>
    <row r="10" spans="1:33">
      <c r="B10" s="535" t="s">
        <v>79</v>
      </c>
      <c r="C10" s="133" t="s">
        <v>33</v>
      </c>
      <c r="D10" s="537">
        <v>0.2</v>
      </c>
      <c r="E10" s="276">
        <f t="shared" si="0"/>
        <v>1</v>
      </c>
      <c r="H10" s="34"/>
    </row>
    <row r="11" spans="1:33">
      <c r="B11" s="145" t="s">
        <v>79</v>
      </c>
      <c r="C11" s="50" t="s">
        <v>35</v>
      </c>
      <c r="D11" s="537">
        <v>0.2</v>
      </c>
      <c r="E11" s="276">
        <f t="shared" si="0"/>
        <v>1</v>
      </c>
      <c r="H11" s="34"/>
    </row>
    <row r="12" spans="1:33">
      <c r="B12" s="145" t="s">
        <v>79</v>
      </c>
      <c r="C12" s="50" t="s">
        <v>37</v>
      </c>
      <c r="D12" s="537">
        <v>0.2</v>
      </c>
      <c r="E12" s="276">
        <f t="shared" si="0"/>
        <v>1</v>
      </c>
      <c r="H12" s="34"/>
    </row>
    <row r="13" spans="1:33">
      <c r="B13" s="145" t="s">
        <v>79</v>
      </c>
      <c r="C13" s="50" t="s">
        <v>36</v>
      </c>
      <c r="D13" s="537">
        <v>0.2</v>
      </c>
      <c r="E13" s="276">
        <f t="shared" si="0"/>
        <v>1</v>
      </c>
      <c r="H13" s="34"/>
    </row>
    <row r="14" spans="1:33">
      <c r="B14" s="145" t="s">
        <v>445</v>
      </c>
      <c r="C14" s="50" t="s">
        <v>446</v>
      </c>
      <c r="D14" s="537">
        <v>0.14285714285714285</v>
      </c>
      <c r="E14" s="276">
        <f t="shared" si="0"/>
        <v>0.99999999999999978</v>
      </c>
      <c r="H14" s="34"/>
      <c r="K14" s="51"/>
      <c r="L14" s="51"/>
      <c r="M14" s="51"/>
      <c r="N14" s="51"/>
      <c r="O14" s="51"/>
      <c r="P14" s="51"/>
    </row>
    <row r="15" spans="1:33">
      <c r="B15" s="145" t="s">
        <v>445</v>
      </c>
      <c r="C15" s="50" t="s">
        <v>447</v>
      </c>
      <c r="D15" s="537">
        <v>0.14285714285714285</v>
      </c>
      <c r="E15" s="276">
        <f t="shared" si="0"/>
        <v>0.99999999999999978</v>
      </c>
      <c r="H15" s="34"/>
      <c r="K15" s="51"/>
      <c r="L15" s="51"/>
      <c r="M15" s="51"/>
      <c r="N15" s="51"/>
      <c r="O15" s="51"/>
      <c r="P15" s="51"/>
    </row>
    <row r="16" spans="1:33">
      <c r="B16" s="145" t="s">
        <v>445</v>
      </c>
      <c r="C16" s="50" t="s">
        <v>357</v>
      </c>
      <c r="D16" s="537">
        <v>0.14285714285714285</v>
      </c>
      <c r="E16" s="276">
        <f t="shared" si="0"/>
        <v>0.99999999999999978</v>
      </c>
      <c r="H16" s="34"/>
      <c r="K16" s="51"/>
      <c r="L16" s="51"/>
      <c r="M16" s="51"/>
      <c r="N16" s="51"/>
      <c r="O16" s="51"/>
      <c r="P16" s="51"/>
    </row>
    <row r="17" spans="2:16">
      <c r="B17" s="145" t="s">
        <v>445</v>
      </c>
      <c r="C17" s="50" t="s">
        <v>60</v>
      </c>
      <c r="D17" s="537">
        <v>0.14285714285714285</v>
      </c>
      <c r="E17" s="276">
        <f t="shared" si="0"/>
        <v>0.99999999999999978</v>
      </c>
      <c r="H17" s="34"/>
      <c r="K17" s="51"/>
      <c r="L17" s="51"/>
      <c r="M17" s="51"/>
      <c r="N17" s="51"/>
      <c r="O17" s="51"/>
      <c r="P17" s="51"/>
    </row>
    <row r="18" spans="2:16">
      <c r="B18" s="145" t="s">
        <v>445</v>
      </c>
      <c r="C18" s="50" t="s">
        <v>448</v>
      </c>
      <c r="D18" s="537">
        <v>0.14285714285714285</v>
      </c>
      <c r="E18" s="276">
        <f t="shared" si="0"/>
        <v>0.99999999999999978</v>
      </c>
      <c r="H18" s="34"/>
      <c r="K18" s="51"/>
      <c r="L18" s="51"/>
      <c r="M18" s="51"/>
      <c r="N18" s="51"/>
      <c r="O18" s="51"/>
      <c r="P18" s="51"/>
    </row>
    <row r="19" spans="2:16">
      <c r="B19" s="145" t="s">
        <v>445</v>
      </c>
      <c r="C19" s="50" t="s">
        <v>366</v>
      </c>
      <c r="D19" s="537">
        <v>0.14285714285714285</v>
      </c>
      <c r="E19" s="276">
        <f t="shared" si="0"/>
        <v>0.99999999999999978</v>
      </c>
      <c r="H19" s="34"/>
      <c r="K19" s="51"/>
      <c r="L19" s="51"/>
      <c r="M19" s="51"/>
      <c r="N19" s="51"/>
      <c r="O19" s="51"/>
      <c r="P19" s="51"/>
    </row>
    <row r="20" spans="2:16">
      <c r="B20" s="145" t="s">
        <v>445</v>
      </c>
      <c r="C20" s="50" t="s">
        <v>360</v>
      </c>
      <c r="D20" s="537">
        <v>0.14285714285714285</v>
      </c>
      <c r="E20" s="276">
        <f t="shared" si="0"/>
        <v>0.99999999999999978</v>
      </c>
      <c r="H20" s="34"/>
      <c r="K20" s="51"/>
      <c r="L20" s="51"/>
      <c r="M20" s="51"/>
      <c r="N20" s="51"/>
      <c r="O20" s="51"/>
      <c r="P20" s="51"/>
    </row>
    <row r="21" spans="2:16">
      <c r="B21" s="145" t="s">
        <v>462</v>
      </c>
      <c r="C21" s="50" t="s">
        <v>450</v>
      </c>
      <c r="D21" s="537">
        <v>0.5</v>
      </c>
      <c r="E21" s="276">
        <f t="shared" si="0"/>
        <v>1</v>
      </c>
      <c r="H21" s="34"/>
      <c r="K21" s="51"/>
      <c r="L21" s="51"/>
      <c r="M21" s="51"/>
      <c r="N21" s="51"/>
      <c r="O21" s="51"/>
      <c r="P21" s="51"/>
    </row>
    <row r="22" spans="2:16">
      <c r="B22" s="145" t="s">
        <v>462</v>
      </c>
      <c r="C22" s="50" t="s">
        <v>168</v>
      </c>
      <c r="D22" s="537">
        <v>0.5</v>
      </c>
      <c r="E22" s="276">
        <f t="shared" si="0"/>
        <v>1</v>
      </c>
      <c r="H22" s="34"/>
      <c r="K22" s="51"/>
      <c r="L22" s="51"/>
      <c r="M22" s="51"/>
      <c r="N22" s="51"/>
      <c r="O22" s="51"/>
      <c r="P22" s="51"/>
    </row>
    <row r="23" spans="2:16">
      <c r="B23" s="145" t="s">
        <v>406</v>
      </c>
      <c r="C23" s="50" t="s">
        <v>408</v>
      </c>
      <c r="D23" s="537">
        <v>0.33333333333333331</v>
      </c>
      <c r="E23" s="276">
        <f t="shared" si="0"/>
        <v>1</v>
      </c>
      <c r="H23" s="34"/>
      <c r="K23" s="51"/>
      <c r="L23" s="51"/>
      <c r="M23" s="51"/>
      <c r="N23" s="51"/>
      <c r="O23" s="51"/>
      <c r="P23" s="51"/>
    </row>
    <row r="24" spans="2:16">
      <c r="B24" s="145" t="s">
        <v>406</v>
      </c>
      <c r="C24" s="50" t="s">
        <v>409</v>
      </c>
      <c r="D24" s="537">
        <v>0.33333333333333331</v>
      </c>
      <c r="E24" s="276">
        <f t="shared" si="0"/>
        <v>1</v>
      </c>
      <c r="H24" s="34"/>
      <c r="K24" s="51"/>
      <c r="L24" s="51"/>
      <c r="M24" s="51"/>
      <c r="N24" s="51"/>
      <c r="O24" s="51"/>
      <c r="P24" s="51"/>
    </row>
    <row r="25" spans="2:16">
      <c r="B25" s="145" t="s">
        <v>406</v>
      </c>
      <c r="C25" s="50" t="s">
        <v>410</v>
      </c>
      <c r="D25" s="537">
        <v>0.33333333333333331</v>
      </c>
      <c r="E25" s="276">
        <f t="shared" si="0"/>
        <v>1</v>
      </c>
      <c r="H25" s="34"/>
      <c r="K25" s="51"/>
      <c r="L25" s="51"/>
      <c r="M25" s="51"/>
      <c r="N25" s="51"/>
      <c r="O25" s="51"/>
      <c r="P25" s="51"/>
    </row>
    <row r="26" spans="2:16">
      <c r="B26" s="145" t="s">
        <v>325</v>
      </c>
      <c r="C26" s="50" t="s">
        <v>424</v>
      </c>
      <c r="D26" s="537">
        <v>0.33333333333333331</v>
      </c>
      <c r="E26" s="276">
        <f t="shared" si="0"/>
        <v>1</v>
      </c>
      <c r="H26" s="34"/>
      <c r="K26" s="51"/>
      <c r="L26" s="51"/>
      <c r="M26" s="51"/>
      <c r="N26" s="51"/>
      <c r="O26" s="51"/>
      <c r="P26" s="51"/>
    </row>
    <row r="27" spans="2:16">
      <c r="B27" s="145" t="s">
        <v>325</v>
      </c>
      <c r="C27" s="50" t="s">
        <v>121</v>
      </c>
      <c r="D27" s="537">
        <v>0.33333333333333331</v>
      </c>
      <c r="E27" s="276">
        <f t="shared" si="0"/>
        <v>1</v>
      </c>
      <c r="H27" s="34"/>
      <c r="K27" s="51"/>
      <c r="L27" s="51"/>
      <c r="M27" s="51"/>
      <c r="N27" s="51"/>
      <c r="O27" s="51"/>
      <c r="P27" s="51"/>
    </row>
    <row r="28" spans="2:16">
      <c r="B28" s="145" t="s">
        <v>325</v>
      </c>
      <c r="C28" s="50" t="s">
        <v>117</v>
      </c>
      <c r="D28" s="537">
        <v>0.33333333333333331</v>
      </c>
      <c r="E28" s="276">
        <f t="shared" si="0"/>
        <v>1</v>
      </c>
      <c r="H28" s="34"/>
      <c r="K28" s="51"/>
      <c r="L28" s="51"/>
      <c r="M28" s="51"/>
      <c r="N28" s="51"/>
      <c r="O28" s="51"/>
      <c r="P28" s="51"/>
    </row>
    <row r="29" spans="2:16">
      <c r="K29" s="51"/>
      <c r="L29" s="51"/>
      <c r="M29" s="51"/>
      <c r="N29" s="51"/>
      <c r="O29" s="51"/>
      <c r="P29" s="51"/>
    </row>
    <row r="30" spans="2:16" ht="20.25">
      <c r="B30" s="41" t="s">
        <v>233</v>
      </c>
      <c r="C30" s="42"/>
      <c r="D30" s="42"/>
      <c r="E30" s="42"/>
      <c r="F30" s="42"/>
      <c r="G30" s="42"/>
      <c r="K30" s="51"/>
      <c r="L30" s="51"/>
      <c r="M30" s="51"/>
      <c r="N30" s="51"/>
      <c r="O30" s="51"/>
      <c r="P30" s="51"/>
    </row>
    <row r="31" spans="2:16">
      <c r="B31" s="526"/>
      <c r="C31" s="527" t="str">
        <f>str_Country</f>
        <v>Mexico</v>
      </c>
      <c r="D31" s="527" t="str">
        <f>str_Country</f>
        <v>Mexico</v>
      </c>
      <c r="E31" s="527" t="str">
        <f>$D$4</f>
        <v>South Korea</v>
      </c>
      <c r="F31" s="527" t="str">
        <f>$D$4</f>
        <v>South Korea</v>
      </c>
      <c r="G31" s="527"/>
      <c r="K31" s="51"/>
      <c r="L31" s="51"/>
      <c r="M31" s="51"/>
      <c r="N31" s="51"/>
      <c r="O31" s="51"/>
      <c r="P31" s="51"/>
    </row>
    <row r="32" spans="2:16">
      <c r="B32" s="524"/>
      <c r="C32" s="525">
        <f>int_DisplayYear_DB</f>
        <v>2023</v>
      </c>
      <c r="D32" s="525">
        <f>int_DisplayYear_DB</f>
        <v>2023</v>
      </c>
      <c r="E32" s="525">
        <f>$D$5</f>
        <v>2023</v>
      </c>
      <c r="F32" s="525">
        <f>$D$5</f>
        <v>2023</v>
      </c>
      <c r="G32" s="525"/>
      <c r="K32" s="51"/>
      <c r="L32" s="51"/>
      <c r="M32" s="51"/>
      <c r="N32" s="51"/>
      <c r="O32" s="51"/>
      <c r="P32" s="51"/>
    </row>
    <row r="33" spans="2:33">
      <c r="B33" s="528"/>
      <c r="C33" s="529" t="s">
        <v>463</v>
      </c>
      <c r="D33" s="529" t="s">
        <v>234</v>
      </c>
      <c r="E33" s="529" t="s">
        <v>463</v>
      </c>
      <c r="F33" s="529" t="s">
        <v>234</v>
      </c>
      <c r="G33" s="529" t="s">
        <v>280</v>
      </c>
      <c r="K33" s="51"/>
      <c r="L33" s="51"/>
      <c r="M33" s="51"/>
      <c r="N33" s="51"/>
      <c r="O33" s="51"/>
      <c r="P33" s="51"/>
    </row>
    <row r="34" spans="2:33">
      <c r="B34" s="145" t="s">
        <v>79</v>
      </c>
      <c r="C34" s="234" cm="1">
        <f t="array" aca="1" ref="C34" ca="1">OFFSET(INDIRECT($R34),AD$4,AD34)</f>
        <v>5.4</v>
      </c>
      <c r="D34" s="234" cm="1">
        <f t="array" aca="1" ref="D34" ca="1">OFFSET(INDIRECT($R34),AE$4,AE34)</f>
        <v>8</v>
      </c>
      <c r="E34" s="234" cm="1">
        <f t="array" aca="1" ref="E34" ca="1">OFFSET(INDIRECT($R34),AF$4,AF34)</f>
        <v>4.2</v>
      </c>
      <c r="F34" s="234" cm="1">
        <f t="array" aca="1" ref="F34" ca="1">OFFSET(INDIRECT($R34),AG$4,AG34)</f>
        <v>15</v>
      </c>
      <c r="G34" s="538">
        <v>0.25</v>
      </c>
      <c r="K34" s="51"/>
      <c r="L34" s="51"/>
      <c r="M34" s="51"/>
      <c r="N34" s="51"/>
      <c r="O34" s="51"/>
      <c r="P34" s="51"/>
      <c r="R34" s="21" t="s">
        <v>464</v>
      </c>
      <c r="S34" s="21">
        <v>2</v>
      </c>
      <c r="T34" s="21">
        <v>1</v>
      </c>
      <c r="U34" s="21">
        <v>1</v>
      </c>
      <c r="V34" s="21">
        <v>0</v>
      </c>
      <c r="W34" s="21">
        <v>1</v>
      </c>
      <c r="X34" s="21" t="s">
        <v>227</v>
      </c>
      <c r="Y34" s="21">
        <v>1</v>
      </c>
      <c r="Z34" s="21">
        <v>2</v>
      </c>
      <c r="AA34" s="21">
        <v>0</v>
      </c>
      <c r="AB34" s="21">
        <v>2</v>
      </c>
      <c r="AC34" s="21">
        <v>2</v>
      </c>
      <c r="AD34" s="21">
        <f>($S34-1)*($Z34*$AC34*$Y34+$AA34*$AB34*$AC34)+AD$5*IF($V34=0,$Z34,$AB34)+($T34-1)*$Z34*$AC34+1</f>
        <v>7</v>
      </c>
      <c r="AE34" s="21">
        <f t="shared" ref="AE34:AG38" si="1">AD34+1</f>
        <v>8</v>
      </c>
      <c r="AF34" s="21">
        <f t="shared" ref="AF34:AF38" si="2">($S34-1)*($Z34*$AC34*$Y34+$AA34*$AB34*$AC34)+AF$5*IF($V34=0,$Z34,$AB34)+($T34-1)*$Z34*$AC34+1</f>
        <v>7</v>
      </c>
      <c r="AG34" s="21">
        <f t="shared" si="1"/>
        <v>8</v>
      </c>
    </row>
    <row r="35" spans="2:33">
      <c r="B35" s="145" t="s">
        <v>445</v>
      </c>
      <c r="C35" s="234" cm="1">
        <f t="array" aca="1" ref="C35" ca="1">OFFSET(INDIRECT($R35),AD$4,AD35)</f>
        <v>1.2859999999999998</v>
      </c>
      <c r="D35" s="234" cm="1">
        <f t="array" aca="1" ref="D35" ca="1">OFFSET(INDIRECT($R35),AE$4,AE35)</f>
        <v>15</v>
      </c>
      <c r="E35" s="234" cm="1">
        <f t="array" aca="1" ref="E35" ca="1">OFFSET(INDIRECT($R35),AF$4,AF35)</f>
        <v>4</v>
      </c>
      <c r="F35" s="234" cm="1">
        <f t="array" aca="1" ref="F35" ca="1">OFFSET(INDIRECT($R35),AG$4,AG35)</f>
        <v>2</v>
      </c>
      <c r="G35" s="538">
        <v>0.15</v>
      </c>
      <c r="K35" s="51"/>
      <c r="L35" s="51"/>
      <c r="M35" s="51"/>
      <c r="N35" s="51"/>
      <c r="O35" s="51"/>
      <c r="P35" s="51"/>
      <c r="R35" s="21" t="s">
        <v>464</v>
      </c>
      <c r="S35" s="21">
        <v>3</v>
      </c>
      <c r="T35" s="21">
        <v>1</v>
      </c>
      <c r="U35" s="21">
        <v>1</v>
      </c>
      <c r="V35" s="21">
        <v>0</v>
      </c>
      <c r="W35" s="21">
        <v>1</v>
      </c>
      <c r="X35" s="21" t="s">
        <v>227</v>
      </c>
      <c r="Y35" s="21">
        <v>1</v>
      </c>
      <c r="Z35" s="21">
        <v>2</v>
      </c>
      <c r="AA35" s="21">
        <v>0</v>
      </c>
      <c r="AB35" s="21">
        <v>2</v>
      </c>
      <c r="AC35" s="21">
        <v>2</v>
      </c>
      <c r="AD35" s="21">
        <f t="shared" ref="AD35:AD39" si="3">($S35-1)*($Z35*$AC35*$Y35+$AA35*$AB35*$AC35)+AD$5*IF($V35=0,$Z35,$AB35)+($T35-1)*$Z35*$AC35+1</f>
        <v>11</v>
      </c>
      <c r="AE35" s="21">
        <f t="shared" si="1"/>
        <v>12</v>
      </c>
      <c r="AF35" s="21">
        <f t="shared" si="2"/>
        <v>11</v>
      </c>
      <c r="AG35" s="21">
        <f t="shared" si="1"/>
        <v>12</v>
      </c>
    </row>
    <row r="36" spans="2:33">
      <c r="B36" s="145" t="s">
        <v>406</v>
      </c>
      <c r="C36" s="234" cm="1">
        <f t="array" aca="1" ref="C36" ca="1">OFFSET(INDIRECT($R36),AD$4,AD36)</f>
        <v>21.834</v>
      </c>
      <c r="D36" s="234" cm="1">
        <f t="array" aca="1" ref="D36" ca="1">OFFSET(INDIRECT($R36),AE$4,AE36)</f>
        <v>24</v>
      </c>
      <c r="E36" s="234" cm="1">
        <f t="array" aca="1" ref="E36" ca="1">OFFSET(INDIRECT($R36),AF$4,AF36)</f>
        <v>14.334</v>
      </c>
      <c r="F36" s="234" cm="1">
        <f t="array" aca="1" ref="F36" ca="1">OFFSET(INDIRECT($R36),AG$4,AG36)</f>
        <v>16</v>
      </c>
      <c r="G36" s="538">
        <v>0.2</v>
      </c>
      <c r="H36" s="60"/>
      <c r="K36" s="53"/>
      <c r="L36" s="53"/>
      <c r="M36" s="53"/>
      <c r="N36" s="53"/>
      <c r="O36" s="53"/>
      <c r="P36" s="53"/>
      <c r="R36" s="21" t="s">
        <v>464</v>
      </c>
      <c r="S36" s="21">
        <v>5</v>
      </c>
      <c r="T36" s="21">
        <v>1</v>
      </c>
      <c r="U36" s="21">
        <v>1</v>
      </c>
      <c r="V36" s="21">
        <v>0</v>
      </c>
      <c r="W36" s="21">
        <v>1</v>
      </c>
      <c r="X36" s="21" t="s">
        <v>227</v>
      </c>
      <c r="Y36" s="21">
        <v>1</v>
      </c>
      <c r="Z36" s="21">
        <v>2</v>
      </c>
      <c r="AA36" s="21">
        <v>0</v>
      </c>
      <c r="AB36" s="21">
        <v>2</v>
      </c>
      <c r="AC36" s="21">
        <v>2</v>
      </c>
      <c r="AD36" s="21">
        <f t="shared" si="3"/>
        <v>19</v>
      </c>
      <c r="AE36" s="21">
        <f t="shared" si="1"/>
        <v>20</v>
      </c>
      <c r="AF36" s="21">
        <f t="shared" si="2"/>
        <v>19</v>
      </c>
      <c r="AG36" s="21">
        <f t="shared" si="1"/>
        <v>20</v>
      </c>
    </row>
    <row r="37" spans="2:33">
      <c r="B37" s="145" t="s">
        <v>325</v>
      </c>
      <c r="C37" s="234" cm="1">
        <f t="array" aca="1" ref="C37" ca="1">OFFSET(INDIRECT($R37),AD$4,AD37)</f>
        <v>17.667000000000002</v>
      </c>
      <c r="D37" s="234" cm="1">
        <f t="array" aca="1" ref="D37" ca="1">OFFSET(INDIRECT($R37),AE$4,AE37)</f>
        <v>23</v>
      </c>
      <c r="E37" s="234" cm="1">
        <f t="array" aca="1" ref="E37" ca="1">OFFSET(INDIRECT($R37),AF$4,AF37)</f>
        <v>8.8889999999999993</v>
      </c>
      <c r="F37" s="234" cm="1">
        <f t="array" aca="1" ref="F37" ca="1">OFFSET(INDIRECT($R37),AG$4,AG37)</f>
        <v>4</v>
      </c>
      <c r="G37" s="538">
        <v>0.2</v>
      </c>
      <c r="R37" s="21" t="s">
        <v>464</v>
      </c>
      <c r="S37" s="21">
        <v>6</v>
      </c>
      <c r="T37" s="21">
        <v>1</v>
      </c>
      <c r="U37" s="21">
        <v>1</v>
      </c>
      <c r="V37" s="21">
        <v>0</v>
      </c>
      <c r="W37" s="21">
        <v>1</v>
      </c>
      <c r="X37" s="21" t="s">
        <v>227</v>
      </c>
      <c r="Y37" s="21">
        <v>1</v>
      </c>
      <c r="Z37" s="21">
        <v>2</v>
      </c>
      <c r="AA37" s="21">
        <v>0</v>
      </c>
      <c r="AB37" s="21">
        <v>2</v>
      </c>
      <c r="AC37" s="21">
        <v>2</v>
      </c>
      <c r="AD37" s="21">
        <f t="shared" si="3"/>
        <v>23</v>
      </c>
      <c r="AE37" s="21">
        <f t="shared" si="1"/>
        <v>24</v>
      </c>
      <c r="AF37" s="21">
        <f t="shared" si="2"/>
        <v>23</v>
      </c>
      <c r="AG37" s="21">
        <f t="shared" si="1"/>
        <v>24</v>
      </c>
    </row>
    <row r="38" spans="2:33">
      <c r="B38" s="145" t="s">
        <v>462</v>
      </c>
      <c r="C38" s="234" cm="1">
        <f t="array" aca="1" ref="C38" ca="1">OFFSET(INDIRECT($R38),AD$4,AD38)</f>
        <v>11</v>
      </c>
      <c r="D38" s="234" cm="1">
        <f t="array" aca="1" ref="D38" ca="1">OFFSET(INDIRECT($R38),AE$4,AE38)</f>
        <v>19</v>
      </c>
      <c r="E38" s="234" cm="1">
        <f t="array" aca="1" ref="E38" ca="1">OFFSET(INDIRECT($R38),AF$4,AF38)</f>
        <v>3.5</v>
      </c>
      <c r="F38" s="234" cm="1">
        <f t="array" aca="1" ref="F38" ca="1">OFFSET(INDIRECT($R38),AG$4,AG38)</f>
        <v>5</v>
      </c>
      <c r="G38" s="538">
        <v>0.2</v>
      </c>
      <c r="R38" s="21" t="s">
        <v>464</v>
      </c>
      <c r="S38" s="21">
        <v>4</v>
      </c>
      <c r="T38" s="21">
        <v>1</v>
      </c>
      <c r="U38" s="21">
        <v>1</v>
      </c>
      <c r="V38" s="21">
        <v>0</v>
      </c>
      <c r="W38" s="21">
        <v>1</v>
      </c>
      <c r="X38" s="21" t="s">
        <v>227</v>
      </c>
      <c r="Y38" s="21">
        <v>1</v>
      </c>
      <c r="Z38" s="21">
        <v>2</v>
      </c>
      <c r="AA38" s="21">
        <v>0</v>
      </c>
      <c r="AB38" s="21">
        <v>2</v>
      </c>
      <c r="AC38" s="21">
        <v>2</v>
      </c>
      <c r="AD38" s="21">
        <f t="shared" si="3"/>
        <v>15</v>
      </c>
      <c r="AE38" s="21">
        <f t="shared" si="1"/>
        <v>16</v>
      </c>
      <c r="AF38" s="21">
        <f t="shared" si="2"/>
        <v>15</v>
      </c>
      <c r="AG38" s="21">
        <f t="shared" si="1"/>
        <v>16</v>
      </c>
    </row>
    <row r="39" spans="2:33">
      <c r="B39" s="46" t="s">
        <v>221</v>
      </c>
      <c r="C39" s="269" cm="1">
        <f t="array" aca="1" ref="C39" ca="1">OFFSET(INDIRECT($R39),AD$4,AD39)</f>
        <v>17.8</v>
      </c>
      <c r="D39" s="269" cm="1">
        <f t="array" aca="1" ref="D39" ca="1">OFFSET(INDIRECT($R39),AE$4,AE39)</f>
        <v>20</v>
      </c>
      <c r="E39" s="269" cm="1">
        <f t="array" aca="1" ref="E39" ca="1">OFFSET(INDIRECT($R39),AF$4,AF39)</f>
        <v>8.4</v>
      </c>
      <c r="F39" s="269" cm="1">
        <f t="array" aca="1" ref="F39" ca="1">OFFSET(INDIRECT($R39),AG$4,AG39)</f>
        <v>6</v>
      </c>
      <c r="G39" s="276">
        <f>SUM(G34:G38)</f>
        <v>1</v>
      </c>
      <c r="R39" s="21" t="s">
        <v>464</v>
      </c>
      <c r="S39" s="21">
        <v>1</v>
      </c>
      <c r="T39" s="21">
        <v>1</v>
      </c>
      <c r="U39" s="21">
        <v>1</v>
      </c>
      <c r="V39" s="21">
        <v>0</v>
      </c>
      <c r="W39" s="21">
        <v>1</v>
      </c>
      <c r="X39" s="21" t="s">
        <v>227</v>
      </c>
      <c r="Y39" s="21">
        <v>1</v>
      </c>
      <c r="Z39" s="21">
        <v>2</v>
      </c>
      <c r="AA39" s="21">
        <v>0</v>
      </c>
      <c r="AB39" s="21">
        <v>2</v>
      </c>
      <c r="AC39" s="21">
        <v>2</v>
      </c>
      <c r="AD39" s="21">
        <f t="shared" si="3"/>
        <v>3</v>
      </c>
      <c r="AE39" s="21">
        <f>AD39+1</f>
        <v>4</v>
      </c>
      <c r="AF39" s="21">
        <f>($S39-1)*($Z39*$AC39*$Y39+$AA39*$AB39*$AC39)+AF$5*IF($V39=0,$Z39,$AB39)+($T39-1)*$Z39*$AC39+1</f>
        <v>3</v>
      </c>
      <c r="AG39" s="21">
        <f>AF39+1</f>
        <v>4</v>
      </c>
    </row>
    <row r="40" spans="2:33">
      <c r="G40" s="121"/>
    </row>
    <row r="41" spans="2:33" ht="20.25">
      <c r="B41" s="87" t="s">
        <v>188</v>
      </c>
      <c r="D41" s="51"/>
      <c r="E41" s="51"/>
      <c r="F41" s="51"/>
      <c r="G41" s="51"/>
      <c r="H41" s="51"/>
      <c r="I41" s="119"/>
      <c r="J41" s="51"/>
      <c r="K41" s="51"/>
    </row>
    <row r="42" spans="2:33">
      <c r="B42" s="246" t="s">
        <v>189</v>
      </c>
      <c r="C42" s="247" t="s">
        <v>190</v>
      </c>
      <c r="D42" s="246" t="s">
        <v>191</v>
      </c>
      <c r="E42" s="248" t="s">
        <v>192</v>
      </c>
      <c r="F42" s="250" t="s">
        <v>20</v>
      </c>
      <c r="G42" s="249" t="s">
        <v>212</v>
      </c>
      <c r="H42" s="250" t="s">
        <v>193</v>
      </c>
      <c r="I42" s="250" t="s">
        <v>252</v>
      </c>
      <c r="J42" s="251" t="s">
        <v>232</v>
      </c>
      <c r="K42" s="251" t="s">
        <v>251</v>
      </c>
      <c r="R42" s="21" t="s">
        <v>438</v>
      </c>
      <c r="S42" s="21" t="s">
        <v>452</v>
      </c>
      <c r="T42" s="21" t="s">
        <v>453</v>
      </c>
      <c r="U42" s="21" t="s">
        <v>459</v>
      </c>
      <c r="V42" s="21" t="s">
        <v>461</v>
      </c>
      <c r="W42" s="21" t="s">
        <v>211</v>
      </c>
      <c r="Y42" s="21" t="s">
        <v>455</v>
      </c>
      <c r="Z42" s="21" t="s">
        <v>460</v>
      </c>
      <c r="AA42" s="21" t="s">
        <v>417</v>
      </c>
      <c r="AB42" s="21" t="s">
        <v>457</v>
      </c>
      <c r="AC42" s="21" t="s">
        <v>454</v>
      </c>
      <c r="AD42" s="21" t="s">
        <v>456</v>
      </c>
      <c r="AE42" s="21" t="s">
        <v>458</v>
      </c>
    </row>
    <row r="43" spans="2:33">
      <c r="B43" s="260" t="s">
        <v>194</v>
      </c>
      <c r="C43" s="134"/>
      <c r="D43" s="134"/>
      <c r="E43" s="134"/>
      <c r="F43" s="134"/>
      <c r="G43" s="134"/>
      <c r="H43" s="134"/>
      <c r="I43" s="134"/>
      <c r="J43" s="134"/>
      <c r="K43" s="134"/>
    </row>
    <row r="44" spans="2:33">
      <c r="B44" s="252" t="str">
        <f t="shared" ref="B44:B59" ca="1" si="4">IF(OR(K44&lt;2,K44=""), "", HYPERLINK("#", K44 &amp; " Countries"))</f>
        <v>11 Countries</v>
      </c>
      <c r="C44" s="90" t="s">
        <v>34</v>
      </c>
      <c r="D44" s="90" t="s">
        <v>491</v>
      </c>
      <c r="E44" s="240" cm="1">
        <f t="array" aca="1" ref="E44" ca="1">OFFSET(INDIRECT($R44),int_Country_Offset,$AD44)</f>
        <v>10</v>
      </c>
      <c r="F44" s="132" t="str" cm="1">
        <f t="array" aca="1" ref="F44" ca="1">IFERROR(VLOOKUP((OFFSET(INDIRECT($R44),0,$AD44)),Dict!$A$52:$B$56,2,FALSE),(OFFSET(INDIRECT($R44),0,$AD44)))</f>
        <v>Thousand metric tons</v>
      </c>
      <c r="G44" s="240" cm="1">
        <f t="array" aca="1" ref="G44" ca="1">OFFSET(INDIRECT($R44),int_Country_Offset,$AE44)</f>
        <v>12</v>
      </c>
      <c r="H44" s="539" t="s">
        <v>477</v>
      </c>
      <c r="I44" s="235" t="str">
        <f t="shared" ref="I44:I59" si="5">IF(X44="min","Low value better","High value better")</f>
        <v>High value better</v>
      </c>
      <c r="J44" s="236">
        <f ca="1">IF($X44="max",MAX(OFFSET('Model - OLD'!$C$12,1,$U44+$U$5*$V44,25)),IF($X44="min",MIN(OFFSET('Model - OLD'!$C$12,1,$U44+$U$5*$V44,25)),""))</f>
        <v>3600</v>
      </c>
      <c r="K44" s="253">
        <f ca="1">IF($X44="","",COUNTIF(OFFSET('Model - OLD'!$C$12,1,$U44+$U$5*$V44,25),"&gt;0"))</f>
        <v>11</v>
      </c>
      <c r="Q44" s="21" cm="1">
        <f t="array" aca="1" ref="Q44" ca="1">OFFSET(INDIRECT($R44),int_Country_Offset,$AD44)</f>
        <v>10</v>
      </c>
      <c r="R44" s="21" t="s">
        <v>468</v>
      </c>
      <c r="S44" s="21">
        <v>1</v>
      </c>
      <c r="T44" s="21">
        <v>1</v>
      </c>
      <c r="U44" s="21">
        <v>1</v>
      </c>
      <c r="V44" s="21">
        <v>0</v>
      </c>
      <c r="W44" s="21">
        <v>1</v>
      </c>
      <c r="X44" s="21" t="s">
        <v>227</v>
      </c>
      <c r="Y44" s="21">
        <v>3</v>
      </c>
      <c r="Z44" s="21">
        <v>3</v>
      </c>
      <c r="AA44" s="21">
        <v>1</v>
      </c>
      <c r="AB44" s="21">
        <v>2</v>
      </c>
      <c r="AC44" s="21">
        <v>2</v>
      </c>
      <c r="AD44" s="21">
        <f>(S44-1)*(Z44*AC44*Y44+AA44*AB44*AC44)+AD5*IF(V44=0,Z44,AB44)+(T44-1)*Z44*AC44+1</f>
        <v>4</v>
      </c>
      <c r="AE44" s="21">
        <f t="shared" ref="AE44:AE57" si="6">AD44+1</f>
        <v>5</v>
      </c>
    </row>
    <row r="45" spans="2:33">
      <c r="B45" s="252" t="str">
        <f ca="1">IF(OR(K45&lt;2,K45=""), "", HYPERLINK("#", K45 &amp; " Countries"))</f>
        <v>7 Countries</v>
      </c>
      <c r="C45" s="540" t="s">
        <v>34</v>
      </c>
      <c r="D45" s="540" t="s">
        <v>88</v>
      </c>
      <c r="E45" s="240" cm="1">
        <f t="array" aca="1" ref="E45" ca="1">OFFSET(INDIRECT($R45),int_Country_Offset,$AD45)</f>
        <v>1.5</v>
      </c>
      <c r="F45" s="132" t="str" cm="1">
        <f t="array" aca="1" ref="F45" ca="1">IFERROR(VLOOKUP((OFFSET(INDIRECT($R45),0,$AD45)),Dict!$A$52:$B$56,2,FALSE),(OFFSET(INDIRECT($R45),0,$AD45)))</f>
        <v>Thousand metric tons</v>
      </c>
      <c r="G45" s="240" cm="1">
        <f t="array" aca="1" ref="G45" ca="1">OFFSET(INDIRECT($R45),int_Country_Offset,$AE45)</f>
        <v>8</v>
      </c>
      <c r="H45" s="68" t="s">
        <v>67</v>
      </c>
      <c r="I45" s="235" t="str">
        <f>IF(X45="min","Low value better","High value better")</f>
        <v>High value better</v>
      </c>
      <c r="J45" s="236">
        <f ca="1">IF($X45="max",MAX(OFFSET('Model - OLD'!$C$12,1,$U45+$U$5*$V45,25)),IF($X45="min",MIN(OFFSET('Model - OLD'!$C$12,1,$U45+$U$5*$V45,25)),""))</f>
        <v>116.51300000000001</v>
      </c>
      <c r="K45" s="253">
        <f ca="1">IF($X45="","",COUNTIF(OFFSET('Model - OLD'!$C$12,1,$U45+$U$5*$V45,25),"&gt;0"))</f>
        <v>7</v>
      </c>
      <c r="Q45" s="21" cm="1">
        <f t="array" aca="1" ref="Q45" ca="1">OFFSET(INDIRECT($R45),int_Country_Offset,$AD45)</f>
        <v>1.5</v>
      </c>
      <c r="R45" s="21" t="s">
        <v>468</v>
      </c>
      <c r="S45" s="21">
        <v>1</v>
      </c>
      <c r="T45" s="21">
        <v>2</v>
      </c>
      <c r="U45" s="21">
        <v>3</v>
      </c>
      <c r="V45" s="21">
        <v>0</v>
      </c>
      <c r="W45" s="21">
        <v>1</v>
      </c>
      <c r="X45" s="21" t="s">
        <v>227</v>
      </c>
      <c r="Y45" s="21">
        <v>3</v>
      </c>
      <c r="Z45" s="21">
        <v>3</v>
      </c>
      <c r="AA45" s="21">
        <v>1</v>
      </c>
      <c r="AB45" s="21">
        <v>2</v>
      </c>
      <c r="AC45" s="21">
        <v>2</v>
      </c>
      <c r="AD45" s="21">
        <f>($S45-1)*($Z45*$AC45*$Y45+$AA45*$AB45*$AC45)+AD$5*IF($V45=0,$Z45,$AB45)+($T45-1)*$Z45*$AC45+1</f>
        <v>10</v>
      </c>
      <c r="AE45" s="21">
        <f t="shared" si="6"/>
        <v>11</v>
      </c>
    </row>
    <row r="46" spans="2:33">
      <c r="B46" s="252" t="str">
        <f ca="1">IF(OR(K46&lt;2,K46=""), "", HYPERLINK("#", K46 &amp; " Countries"))</f>
        <v>8 Countries</v>
      </c>
      <c r="C46" s="540" t="s">
        <v>34</v>
      </c>
      <c r="D46" s="540" t="s">
        <v>492</v>
      </c>
      <c r="E46" s="240" cm="1">
        <f t="array" aca="1" ref="E46" ca="1">OFFSET(INDIRECT($R46),int_Country_Offset,$AD46)</f>
        <v>0</v>
      </c>
      <c r="F46" s="132" t="str" cm="1">
        <f t="array" aca="1" ref="F46" ca="1">IFERROR(VLOOKUP((OFFSET(INDIRECT($R46),0,$AD46)),Dict!$A$52:$B$56,2,FALSE),(OFFSET(INDIRECT($R46),0,$AD46)))</f>
        <v>Thousand metric tons</v>
      </c>
      <c r="G46" s="240" cm="1">
        <f t="array" aca="1" ref="G46" ca="1">OFFSET(INDIRECT($R46),int_Country_Offset,$AE46)</f>
        <v>9</v>
      </c>
      <c r="H46" s="68" t="s">
        <v>67</v>
      </c>
      <c r="I46" s="235" t="str">
        <f>IF(X46="min","Low value better","High value better")</f>
        <v>High value better</v>
      </c>
      <c r="J46" s="236">
        <f ca="1">IF($X46="max",MAX(OFFSET('Model - OLD'!$C$12,1,$U46+$U$5*$V46,25)),IF($X46="min",MIN(OFFSET('Model - OLD'!$C$12,1,$U46+$U$5*$V46,25)),""))</f>
        <v>117.733</v>
      </c>
      <c r="K46" s="253">
        <f ca="1">IF($X46="","",COUNTIF(OFFSET('Model - OLD'!$C$12,1,$U46+$U$5*$V46,25),"&gt;0"))</f>
        <v>8</v>
      </c>
      <c r="Q46" s="21" cm="1">
        <f t="array" aca="1" ref="Q46" ca="1">OFFSET(INDIRECT($R46),int_Country_Offset,$AD46)</f>
        <v>0</v>
      </c>
      <c r="R46" s="21" t="s">
        <v>468</v>
      </c>
      <c r="S46" s="21">
        <v>1</v>
      </c>
      <c r="T46" s="21">
        <v>3</v>
      </c>
      <c r="U46" s="21">
        <v>5</v>
      </c>
      <c r="V46" s="21">
        <v>0</v>
      </c>
      <c r="W46" s="21">
        <v>1</v>
      </c>
      <c r="X46" s="21" t="s">
        <v>227</v>
      </c>
      <c r="Y46" s="21">
        <v>3</v>
      </c>
      <c r="Z46" s="21">
        <v>3</v>
      </c>
      <c r="AA46" s="21">
        <v>1</v>
      </c>
      <c r="AB46" s="21">
        <v>2</v>
      </c>
      <c r="AC46" s="21">
        <v>2</v>
      </c>
      <c r="AD46" s="21">
        <f>($S46-1)*($Z46*$AC46*$Y46+$AA46*$AB46*$AC46)+AD$5*IF($V46=0,$Z46,$AB46)+($T46-1)*$Z46*$AC46+1</f>
        <v>16</v>
      </c>
      <c r="AE46" s="21">
        <f t="shared" si="6"/>
        <v>17</v>
      </c>
    </row>
    <row r="47" spans="2:33">
      <c r="B47" s="252" t="str">
        <f t="shared" ca="1" si="4"/>
        <v>6 Countries</v>
      </c>
      <c r="C47" s="239" t="s">
        <v>33</v>
      </c>
      <c r="D47" s="90" t="s">
        <v>491</v>
      </c>
      <c r="E47" s="240" cm="1">
        <f t="array" aca="1" ref="E47" ca="1">OFFSET(INDIRECT($R47),int_Country_Offset,$AD47)</f>
        <v>337</v>
      </c>
      <c r="F47" s="132" t="str" cm="1">
        <f t="array" aca="1" ref="F47" ca="1">IFERROR(VLOOKUP((OFFSET(INDIRECT($R47),0,$AD47)),Dict!$A$52:$B$56,2,FALSE),(OFFSET(INDIRECT($R47),0,$AD47)))</f>
        <v>Thousand metric tons</v>
      </c>
      <c r="G47" s="240" cm="1">
        <f t="array" aca="1" ref="G47" ca="1">OFFSET(INDIRECT($R47),int_Country_Offset,$AE47)</f>
        <v>9</v>
      </c>
      <c r="H47" s="539" t="s">
        <v>477</v>
      </c>
      <c r="I47" s="235" t="str">
        <f t="shared" si="5"/>
        <v>High value better</v>
      </c>
      <c r="J47" s="236">
        <f ca="1">IF($X47="max",MAX(OFFSET('Model - OLD'!$C$12,1,$U47+$U$5*$V47,25)),IF($X47="min",MIN(OFFSET('Model - OLD'!$C$12,1,$U47+$U$5*$V47,25)),""))</f>
        <v>8600</v>
      </c>
      <c r="K47" s="253">
        <f ca="1">IF($X47="","",COUNTIF(OFFSET('Model - OLD'!$C$12,1,$U47+$U$5*$V47,25),"&gt;0"))</f>
        <v>6</v>
      </c>
      <c r="Q47" s="21" cm="1">
        <f t="array" aca="1" ref="Q47" ca="1">OFFSET(INDIRECT($R47),int_Country_Offset,$AD47)</f>
        <v>337</v>
      </c>
      <c r="R47" s="21" t="s">
        <v>468</v>
      </c>
      <c r="S47" s="21">
        <v>3</v>
      </c>
      <c r="T47" s="21">
        <v>1</v>
      </c>
      <c r="U47" s="232">
        <f t="shared" ref="U47:U55" si="7">U44+10</f>
        <v>11</v>
      </c>
      <c r="V47" s="21">
        <v>0</v>
      </c>
      <c r="W47" s="21">
        <v>1</v>
      </c>
      <c r="X47" s="21" t="s">
        <v>227</v>
      </c>
      <c r="Y47" s="21">
        <v>3</v>
      </c>
      <c r="Z47" s="21">
        <v>3</v>
      </c>
      <c r="AA47" s="21">
        <v>1</v>
      </c>
      <c r="AB47" s="21">
        <v>2</v>
      </c>
      <c r="AC47" s="21">
        <v>2</v>
      </c>
      <c r="AD47" s="21">
        <f t="shared" ref="AD47:AD56" si="8">($S47-1)*($Z47*$AC47*$Y47+$AA47*$AB47*$AC47)+AD$5*IF($V47=0,$Z47,$AB47)+($T47-1)*$Z47*$AC47+1</f>
        <v>48</v>
      </c>
      <c r="AE47" s="21">
        <f t="shared" si="6"/>
        <v>49</v>
      </c>
    </row>
    <row r="48" spans="2:33">
      <c r="B48" s="252" t="str">
        <f ca="1">IF(OR(K48&lt;2,K48=""), "", HYPERLINK("#", K48 &amp; " Countries"))</f>
        <v>5 Countries</v>
      </c>
      <c r="C48" s="540" t="s">
        <v>33</v>
      </c>
      <c r="D48" s="540" t="s">
        <v>88</v>
      </c>
      <c r="E48" s="240" cm="1">
        <f t="array" aca="1" ref="E48" ca="1">OFFSET(INDIRECT($R48),int_Country_Offset,$AD48)</f>
        <v>0</v>
      </c>
      <c r="F48" s="132" t="str" cm="1">
        <f t="array" aca="1" ref="F48" ca="1">IFERROR(VLOOKUP((OFFSET(INDIRECT($R48),0,$AD48)),Dict!$A$52:$B$56,2,FALSE),(OFFSET(INDIRECT($R48),0,$AD48)))</f>
        <v>Thousand metric tons lithium carbonate equivalent</v>
      </c>
      <c r="G48" s="240" cm="1">
        <f t="array" aca="1" ref="G48" ca="1">OFFSET(INDIRECT($R48),int_Country_Offset,$AE48)</f>
        <v>8</v>
      </c>
      <c r="H48" s="68" t="s">
        <v>67</v>
      </c>
      <c r="I48" s="235" t="str">
        <f>IF(X48="min","Low value better","High value better")</f>
        <v>High value better</v>
      </c>
      <c r="J48" s="236">
        <f ca="1">IF($X48="max",MAX(OFFSET('Model - OLD'!$C$12,1,$U48+$U$5*$V48,25)),IF($X48="min",MIN(OFFSET('Model - OLD'!$C$12,1,$U48+$U$5*$V48,25)),""))</f>
        <v>150.89148936170213</v>
      </c>
      <c r="K48" s="253">
        <f ca="1">IF($X48="","",COUNTIF(OFFSET('Model - OLD'!$C$12,1,$U48+$U$5*$V48,25),"&gt;0"))</f>
        <v>5</v>
      </c>
      <c r="Q48" s="21" cm="1">
        <f t="array" aca="1" ref="Q48" ca="1">OFFSET(INDIRECT($R48),int_Country_Offset,$AD48)</f>
        <v>0</v>
      </c>
      <c r="R48" s="21" t="s">
        <v>468</v>
      </c>
      <c r="S48" s="21">
        <v>3</v>
      </c>
      <c r="T48" s="21">
        <v>2</v>
      </c>
      <c r="U48" s="232">
        <f t="shared" si="7"/>
        <v>13</v>
      </c>
      <c r="V48" s="21">
        <v>0</v>
      </c>
      <c r="W48" s="21">
        <v>1</v>
      </c>
      <c r="X48" s="21" t="s">
        <v>227</v>
      </c>
      <c r="Y48" s="21">
        <v>3</v>
      </c>
      <c r="Z48" s="21">
        <v>3</v>
      </c>
      <c r="AA48" s="21">
        <v>1</v>
      </c>
      <c r="AB48" s="21">
        <v>2</v>
      </c>
      <c r="AC48" s="21">
        <v>2</v>
      </c>
      <c r="AD48" s="21">
        <f>($S48-1)*($Z48*$AC48*$Y48+$AA48*$AB48*$AC48)+AD$5*IF($V48=0,$Z48,$AB48)+($T48-1)*$Z48*$AC48+1</f>
        <v>54</v>
      </c>
      <c r="AE48" s="21">
        <f t="shared" si="6"/>
        <v>55</v>
      </c>
    </row>
    <row r="49" spans="2:31">
      <c r="B49" s="252" t="str">
        <f ca="1">IF(OR(K49&lt;2,K49=""), "", HYPERLINK("#", K49 &amp; " Countries"))</f>
        <v>5 Countries</v>
      </c>
      <c r="C49" s="540" t="s">
        <v>33</v>
      </c>
      <c r="D49" s="540" t="s">
        <v>492</v>
      </c>
      <c r="E49" s="240" cm="1">
        <f t="array" aca="1" ref="E49" ca="1">OFFSET(INDIRECT($R49),int_Country_Offset,$AD49)</f>
        <v>0</v>
      </c>
      <c r="F49" s="132" t="str" cm="1">
        <f t="array" aca="1" ref="F49" ca="1">IFERROR(VLOOKUP((OFFSET(INDIRECT($R49),0,$AD49)),Dict!$A$52:$B$56,2,FALSE),(OFFSET(INDIRECT($R49),0,$AD49)))</f>
        <v>Thousand metric tons lithium carbonate equivalent</v>
      </c>
      <c r="G49" s="240" cm="1">
        <f t="array" aca="1" ref="G49" ca="1">OFFSET(INDIRECT($R49),int_Country_Offset,$AE49)</f>
        <v>7</v>
      </c>
      <c r="H49" s="68" t="s">
        <v>67</v>
      </c>
      <c r="I49" s="235" t="str">
        <f>IF(X49="min","Low value better","High value better")</f>
        <v>High value better</v>
      </c>
      <c r="J49" s="236">
        <f ca="1">IF($X49="max",MAX(OFFSET('Model - OLD'!$C$12,1,$U49+$U$5*$V49,25)),IF($X49="min",MIN(OFFSET('Model - OLD'!$C$12,1,$U49+$U$5*$V49,25)),""))</f>
        <v>352.9531914893617</v>
      </c>
      <c r="K49" s="253">
        <f ca="1">IF($X49="","",COUNTIF(OFFSET('Model - OLD'!$C$12,1,$U49+$U$5*$V49,25),"&gt;0"))</f>
        <v>5</v>
      </c>
      <c r="Q49" s="21" cm="1">
        <f t="array" aca="1" ref="Q49" ca="1">OFFSET(INDIRECT($R49),int_Country_Offset,$AD49)</f>
        <v>0</v>
      </c>
      <c r="R49" s="21" t="s">
        <v>468</v>
      </c>
      <c r="S49" s="21">
        <v>3</v>
      </c>
      <c r="T49" s="21">
        <v>3</v>
      </c>
      <c r="U49" s="232">
        <f t="shared" si="7"/>
        <v>15</v>
      </c>
      <c r="V49" s="21">
        <v>0</v>
      </c>
      <c r="W49" s="21">
        <v>1</v>
      </c>
      <c r="X49" s="21" t="s">
        <v>227</v>
      </c>
      <c r="Y49" s="21">
        <v>3</v>
      </c>
      <c r="Z49" s="21">
        <v>3</v>
      </c>
      <c r="AA49" s="21">
        <v>1</v>
      </c>
      <c r="AB49" s="21">
        <v>2</v>
      </c>
      <c r="AC49" s="21">
        <v>2</v>
      </c>
      <c r="AD49" s="21">
        <f>($S49-1)*($Z49*$AC49*$Y49+$AA49*$AB49*$AC49)+AD$5*IF($V49=0,$Z49,$AB49)+($T49-1)*$Z49*$AC49+1</f>
        <v>60</v>
      </c>
      <c r="AE49" s="21">
        <f t="shared" si="6"/>
        <v>61</v>
      </c>
    </row>
    <row r="50" spans="2:31">
      <c r="B50" s="252" t="str">
        <f t="shared" ca="1" si="4"/>
        <v>6 Countries</v>
      </c>
      <c r="C50" s="239" t="s">
        <v>493</v>
      </c>
      <c r="D50" s="90" t="s">
        <v>491</v>
      </c>
      <c r="E50" s="240" cm="1">
        <f t="array" aca="1" ref="E50" ca="1">OFFSET(INDIRECT($R50),int_Country_Offset,$AD50)</f>
        <v>0</v>
      </c>
      <c r="F50" s="132" t="str" cm="1">
        <f t="array" aca="1" ref="F50" ca="1">IFERROR(VLOOKUP((OFFSET(INDIRECT($R50),0,$AD50)),Dict!$A$52:$B$56,2,FALSE),(OFFSET(INDIRECT($R50),0,$AD50)))</f>
        <v>Thousand metric tons</v>
      </c>
      <c r="G50" s="240" cm="1">
        <f t="array" aca="1" ref="G50" ca="1">OFFSET(INDIRECT($R50),int_Country_Offset,$AE50)</f>
        <v>11</v>
      </c>
      <c r="H50" s="539" t="s">
        <v>477</v>
      </c>
      <c r="I50" s="235" t="str">
        <f t="shared" si="5"/>
        <v>High value better</v>
      </c>
      <c r="J50" s="236">
        <f ca="1">IF($X50="max",MAX(OFFSET('Model - OLD'!$C$12,1,$U50+$U$5*$V50,25)),IF($X50="min",MIN(OFFSET('Model - OLD'!$C$12,1,$U50+$U$5*$V50,25)),""))</f>
        <v>21000</v>
      </c>
      <c r="K50" s="253">
        <f ca="1">IF($X50="","",COUNTIF(OFFSET('Model - OLD'!$C$12,1,$U50+$U$5*$V50,25),"&gt;0"))</f>
        <v>6</v>
      </c>
      <c r="Q50" s="21" cm="1">
        <f t="array" aca="1" ref="Q50" ca="1">OFFSET(INDIRECT($R50),int_Country_Offset,$AD50)</f>
        <v>0</v>
      </c>
      <c r="R50" s="21" t="s">
        <v>468</v>
      </c>
      <c r="S50" s="21">
        <v>5</v>
      </c>
      <c r="T50" s="21">
        <v>1</v>
      </c>
      <c r="U50" s="232">
        <f t="shared" si="7"/>
        <v>21</v>
      </c>
      <c r="V50" s="21">
        <v>0</v>
      </c>
      <c r="W50" s="21">
        <v>1</v>
      </c>
      <c r="X50" s="21" t="s">
        <v>227</v>
      </c>
      <c r="Y50" s="21">
        <v>3</v>
      </c>
      <c r="Z50" s="21">
        <v>3</v>
      </c>
      <c r="AA50" s="21">
        <v>1</v>
      </c>
      <c r="AB50" s="21">
        <v>2</v>
      </c>
      <c r="AC50" s="21">
        <v>2</v>
      </c>
      <c r="AD50" s="21">
        <f t="shared" si="8"/>
        <v>92</v>
      </c>
      <c r="AE50" s="21">
        <f t="shared" si="6"/>
        <v>93</v>
      </c>
    </row>
    <row r="51" spans="2:31">
      <c r="B51" s="252" t="str">
        <f ca="1">IF(OR(K51&lt;2,K51=""), "", HYPERLINK("#", K51 &amp; " Countries"))</f>
        <v>8 Countries</v>
      </c>
      <c r="C51" s="540" t="s">
        <v>493</v>
      </c>
      <c r="D51" s="540" t="s">
        <v>88</v>
      </c>
      <c r="E51" s="240" cm="1">
        <f t="array" aca="1" ref="E51" ca="1">OFFSET(INDIRECT($R51),int_Country_Offset,$AD51)</f>
        <v>0</v>
      </c>
      <c r="F51" s="132" t="str" cm="1">
        <f t="array" aca="1" ref="F51" ca="1">IFERROR(VLOOKUP((OFFSET(INDIRECT($R51),0,$AD51)),Dict!$A$52:$B$56,2,FALSE),(OFFSET(INDIRECT($R51),0,$AD51)))</f>
        <v>Thousand metric tons</v>
      </c>
      <c r="G51" s="240" cm="1">
        <f t="array" aca="1" ref="G51" ca="1">OFFSET(INDIRECT($R51),int_Country_Offset,$AE51)</f>
        <v>13</v>
      </c>
      <c r="H51" s="68" t="s">
        <v>67</v>
      </c>
      <c r="I51" s="235" t="str">
        <f>IF(X51="min","Low value better","High value better")</f>
        <v>High value better</v>
      </c>
      <c r="J51" s="236">
        <f ca="1">IF($X51="max",MAX(OFFSET('Model - OLD'!$C$12,1,$U51+$U$5*$V51,25)),IF($X51="min",MIN(OFFSET('Model - OLD'!$C$12,1,$U51+$U$5*$V51,25)),""))</f>
        <v>226</v>
      </c>
      <c r="K51" s="253">
        <f ca="1">IF($X51="","",COUNTIF(OFFSET('Model - OLD'!$C$12,1,$U51+$U$5*$V51,25),"&gt;0"))</f>
        <v>8</v>
      </c>
      <c r="Q51" s="21" cm="1">
        <f t="array" aca="1" ref="Q51" ca="1">OFFSET(INDIRECT($R51),int_Country_Offset,$AD51)</f>
        <v>0</v>
      </c>
      <c r="R51" s="21" t="s">
        <v>468</v>
      </c>
      <c r="S51" s="21">
        <v>5</v>
      </c>
      <c r="T51" s="21">
        <v>2</v>
      </c>
      <c r="U51" s="232">
        <f t="shared" si="7"/>
        <v>23</v>
      </c>
      <c r="V51" s="21">
        <v>0</v>
      </c>
      <c r="W51" s="21">
        <v>1</v>
      </c>
      <c r="X51" s="21" t="s">
        <v>227</v>
      </c>
      <c r="Y51" s="21">
        <v>3</v>
      </c>
      <c r="Z51" s="21">
        <v>3</v>
      </c>
      <c r="AA51" s="21">
        <v>1</v>
      </c>
      <c r="AB51" s="21">
        <v>2</v>
      </c>
      <c r="AC51" s="21">
        <v>2</v>
      </c>
      <c r="AD51" s="21">
        <f>($S51-1)*($Z51*$AC51*$Y51+$AA51*$AB51*$AC51)+AD$5*IF($V51=0,$Z51,$AB51)+($T51-1)*$Z51*$AC51+1</f>
        <v>98</v>
      </c>
      <c r="AE51" s="21">
        <f t="shared" si="6"/>
        <v>99</v>
      </c>
    </row>
    <row r="52" spans="2:31">
      <c r="B52" s="252" t="str">
        <f ca="1">IF(OR(K52&lt;2,K52=""), "", HYPERLINK("#", K52 &amp; " Countries"))</f>
        <v>8 Countries</v>
      </c>
      <c r="C52" s="540" t="s">
        <v>493</v>
      </c>
      <c r="D52" s="540" t="s">
        <v>492</v>
      </c>
      <c r="E52" s="240" cm="1">
        <f t="array" aca="1" ref="E52" ca="1">OFFSET(INDIRECT($R52),int_Country_Offset,$AD52)</f>
        <v>0</v>
      </c>
      <c r="F52" s="132" t="str" cm="1">
        <f t="array" aca="1" ref="F52" ca="1">IFERROR(VLOOKUP((OFFSET(INDIRECT($R52),0,$AD52)),Dict!$A$52:$B$56,2,FALSE),(OFFSET(INDIRECT($R52),0,$AD52)))</f>
        <v>Thousand metric tons</v>
      </c>
      <c r="G52" s="240" cm="1">
        <f t="array" aca="1" ref="G52" ca="1">OFFSET(INDIRECT($R52),int_Country_Offset,$AE52)</f>
        <v>8</v>
      </c>
      <c r="H52" s="68" t="s">
        <v>67</v>
      </c>
      <c r="I52" s="235" t="str">
        <f>IF(X52="min","Low value better","High value better")</f>
        <v>High value better</v>
      </c>
      <c r="J52" s="236">
        <f ca="1">IF($X52="max",MAX(OFFSET('Model - OLD'!$C$12,1,$U52+$U$5*$V52,25)),IF($X52="min",MIN(OFFSET('Model - OLD'!$C$12,1,$U52+$U$5*$V52,25)),""))</f>
        <v>713.04849999999999</v>
      </c>
      <c r="K52" s="253">
        <f ca="1">IF($X52="","",COUNTIF(OFFSET('Model - OLD'!$C$12,1,$U52+$U$5*$V52,25),"&gt;0"))</f>
        <v>8</v>
      </c>
      <c r="Q52" s="21" cm="1">
        <f t="array" aca="1" ref="Q52" ca="1">OFFSET(INDIRECT($R52),int_Country_Offset,$AD52)</f>
        <v>0</v>
      </c>
      <c r="R52" s="21" t="s">
        <v>468</v>
      </c>
      <c r="S52" s="21">
        <v>5</v>
      </c>
      <c r="T52" s="21">
        <v>3</v>
      </c>
      <c r="U52" s="232">
        <f t="shared" si="7"/>
        <v>25</v>
      </c>
      <c r="V52" s="21">
        <v>0</v>
      </c>
      <c r="W52" s="21">
        <v>1</v>
      </c>
      <c r="X52" s="21" t="s">
        <v>227</v>
      </c>
      <c r="Y52" s="21">
        <v>3</v>
      </c>
      <c r="Z52" s="21">
        <v>3</v>
      </c>
      <c r="AA52" s="21">
        <v>1</v>
      </c>
      <c r="AB52" s="21">
        <v>2</v>
      </c>
      <c r="AC52" s="21">
        <v>2</v>
      </c>
      <c r="AD52" s="21">
        <f>($S52-1)*($Z52*$AC52*$Y52+$AA52*$AB52*$AC52)+AD$5*IF($V52=0,$Z52,$AB52)+($T52-1)*$Z52*$AC52+1</f>
        <v>104</v>
      </c>
      <c r="AE52" s="21">
        <f t="shared" si="6"/>
        <v>105</v>
      </c>
    </row>
    <row r="53" spans="2:31">
      <c r="B53" s="252" t="str">
        <f t="shared" ca="1" si="4"/>
        <v>7 Countries</v>
      </c>
      <c r="C53" s="239" t="s">
        <v>195</v>
      </c>
      <c r="D53" s="90" t="s">
        <v>491</v>
      </c>
      <c r="E53" s="240" cm="1">
        <f t="array" aca="1" ref="E53" ca="1">OFFSET(INDIRECT($R53),int_Country_Offset,$AD53)</f>
        <v>3100</v>
      </c>
      <c r="F53" s="132" t="str" cm="1">
        <f t="array" aca="1" ref="F53" ca="1">IFERROR(VLOOKUP((OFFSET(INDIRECT($R53),0,$AD53)),Dict!$A$52:$B$56,2,FALSE),(OFFSET(INDIRECT($R53),0,$AD53)))</f>
        <v>Thousand metric tons</v>
      </c>
      <c r="G53" s="240" cm="1">
        <f t="array" aca="1" ref="G53" ca="1">OFFSET(INDIRECT($R53),int_Country_Offset,$AE53)</f>
        <v>4</v>
      </c>
      <c r="H53" s="539" t="s">
        <v>477</v>
      </c>
      <c r="I53" s="235" t="str">
        <f t="shared" si="5"/>
        <v>High value better</v>
      </c>
      <c r="J53" s="236">
        <f ca="1">IF($X53="max",MAX(OFFSET('Model - OLD'!$C$12,1,$U53+$U$5*$V53,25)),IF($X53="min",MIN(OFFSET('Model - OLD'!$C$12,1,$U53+$U$5*$V53,25)),""))</f>
        <v>73000</v>
      </c>
      <c r="K53" s="253">
        <f ca="1">IF($X53="","",COUNTIF(OFFSET('Model - OLD'!$C$12,1,$U53+$U$5*$V53,25),"&gt;0"))</f>
        <v>7</v>
      </c>
      <c r="Q53" s="21" cm="1">
        <f t="array" aca="1" ref="Q53" ca="1">OFFSET(INDIRECT($R53),int_Country_Offset,$AD53)</f>
        <v>3100</v>
      </c>
      <c r="R53" s="21" t="s">
        <v>468</v>
      </c>
      <c r="S53" s="21">
        <v>2</v>
      </c>
      <c r="T53" s="21">
        <v>1</v>
      </c>
      <c r="U53" s="232">
        <f t="shared" si="7"/>
        <v>31</v>
      </c>
      <c r="V53" s="21">
        <v>0</v>
      </c>
      <c r="W53" s="21">
        <v>1</v>
      </c>
      <c r="X53" s="21" t="s">
        <v>227</v>
      </c>
      <c r="Y53" s="21">
        <v>3</v>
      </c>
      <c r="Z53" s="21">
        <v>3</v>
      </c>
      <c r="AA53" s="21">
        <v>1</v>
      </c>
      <c r="AB53" s="21">
        <v>2</v>
      </c>
      <c r="AC53" s="21">
        <v>2</v>
      </c>
      <c r="AD53" s="21">
        <f t="shared" si="8"/>
        <v>26</v>
      </c>
      <c r="AE53" s="21">
        <f t="shared" si="6"/>
        <v>27</v>
      </c>
    </row>
    <row r="54" spans="2:31">
      <c r="B54" s="252" t="str">
        <f ca="1">IF(OR(K54&lt;2,K54=""), "", HYPERLINK("#", K54 &amp; " Countries"))</f>
        <v>7 Countries</v>
      </c>
      <c r="C54" s="540" t="s">
        <v>195</v>
      </c>
      <c r="D54" s="540" t="s">
        <v>88</v>
      </c>
      <c r="E54" s="240" cm="1">
        <f t="array" aca="1" ref="E54" ca="1">OFFSET(INDIRECT($R54),int_Country_Offset,$AD54)</f>
        <v>1.9</v>
      </c>
      <c r="F54" s="132" t="str" cm="1">
        <f t="array" aca="1" ref="F54" ca="1">IFERROR(VLOOKUP((OFFSET(INDIRECT($R54),0,$AD54)),Dict!$A$52:$B$56,2,FALSE),(OFFSET(INDIRECT($R54),0,$AD54)))</f>
        <v>Thousand metric tons</v>
      </c>
      <c r="G54" s="240" cm="1">
        <f t="array" aca="1" ref="G54" ca="1">OFFSET(INDIRECT($R54),int_Country_Offset,$AE54)</f>
        <v>8</v>
      </c>
      <c r="H54" s="68" t="s">
        <v>67</v>
      </c>
      <c r="I54" s="235" t="str">
        <f>IF(X54="min","Low value better","High value better")</f>
        <v>High value better</v>
      </c>
      <c r="J54" s="236">
        <f ca="1">IF($X54="max",MAX(OFFSET('Model - OLD'!$C$12,1,$U54+$U$5*$V54,25)),IF($X54="min",MIN(OFFSET('Model - OLD'!$C$12,1,$U54+$U$5*$V54,25)),""))</f>
        <v>700</v>
      </c>
      <c r="K54" s="253">
        <f ca="1">IF($X54="","",COUNTIF(OFFSET('Model - OLD'!$C$12,1,$U54+$U$5*$V54,25),"&gt;0"))</f>
        <v>7</v>
      </c>
      <c r="Q54" s="21" cm="1">
        <f t="array" aca="1" ref="Q54" ca="1">OFFSET(INDIRECT($R54),int_Country_Offset,$AD54)</f>
        <v>1.9</v>
      </c>
      <c r="R54" s="21" t="s">
        <v>468</v>
      </c>
      <c r="S54" s="21">
        <v>2</v>
      </c>
      <c r="T54" s="21">
        <v>2</v>
      </c>
      <c r="U54" s="232">
        <f t="shared" si="7"/>
        <v>33</v>
      </c>
      <c r="V54" s="21">
        <v>0</v>
      </c>
      <c r="W54" s="21">
        <v>1</v>
      </c>
      <c r="X54" s="21" t="s">
        <v>227</v>
      </c>
      <c r="Y54" s="21">
        <v>3</v>
      </c>
      <c r="Z54" s="21">
        <v>3</v>
      </c>
      <c r="AA54" s="21">
        <v>1</v>
      </c>
      <c r="AB54" s="21">
        <v>2</v>
      </c>
      <c r="AC54" s="21">
        <v>2</v>
      </c>
      <c r="AD54" s="21">
        <f>($S54-1)*($Z54*$AC54*$Y54+$AA54*$AB54*$AC54)+AD$5*IF($V54=0,$Z54,$AB54)+($T54-1)*$Z54*$AC54+1</f>
        <v>32</v>
      </c>
      <c r="AE54" s="21">
        <f t="shared" si="6"/>
        <v>33</v>
      </c>
    </row>
    <row r="55" spans="2:31">
      <c r="B55" s="252" t="str">
        <f ca="1">IF(OR(K55&lt;2,K55=""), "", HYPERLINK("#", K55 &amp; " Countries"))</f>
        <v>4 Countries</v>
      </c>
      <c r="C55" s="540" t="s">
        <v>195</v>
      </c>
      <c r="D55" s="540" t="s">
        <v>492</v>
      </c>
      <c r="E55" s="240" cm="1">
        <f t="array" aca="1" ref="E55" ca="1">OFFSET(INDIRECT($R55),int_Country_Offset,$AD55)</f>
        <v>0</v>
      </c>
      <c r="F55" s="132" t="str" cm="1">
        <f t="array" aca="1" ref="F55" ca="1">IFERROR(VLOOKUP((OFFSET(INDIRECT($R55),0,$AD55)),Dict!$A$52:$B$56,2,FALSE),(OFFSET(INDIRECT($R55),0,$AD55)))</f>
        <v>Thousand metric tons</v>
      </c>
      <c r="G55" s="240" cm="1">
        <f t="array" aca="1" ref="G55" ca="1">OFFSET(INDIRECT($R55),int_Country_Offset,$AE55)</f>
        <v>0</v>
      </c>
      <c r="H55" s="68" t="s">
        <v>67</v>
      </c>
      <c r="I55" s="235" t="str">
        <f>IF(X55="min","Low value better","High value better")</f>
        <v>High value better</v>
      </c>
      <c r="J55" s="236">
        <f ca="1">IF($X55="max",MAX(OFFSET('Model - OLD'!$C$12,1,$U55+$U$5*$V55,25)),IF($X55="min",MIN(OFFSET('Model - OLD'!$C$12,1,$U55+$U$5*$V55,25)),""))</f>
        <v>267.2</v>
      </c>
      <c r="K55" s="253">
        <f ca="1">IF($X55="","",COUNTIF(OFFSET('Model - OLD'!$C$12,1,$U55+$U$5*$V55,25),"&gt;0"))</f>
        <v>4</v>
      </c>
      <c r="Q55" s="21" cm="1">
        <f t="array" aca="1" ref="Q55" ca="1">OFFSET(INDIRECT($R55),int_Country_Offset,$AD55)</f>
        <v>0</v>
      </c>
      <c r="R55" s="21" t="s">
        <v>468</v>
      </c>
      <c r="S55" s="21">
        <v>2</v>
      </c>
      <c r="T55" s="21">
        <v>3</v>
      </c>
      <c r="U55" s="232">
        <f t="shared" si="7"/>
        <v>35</v>
      </c>
      <c r="V55" s="21">
        <v>0</v>
      </c>
      <c r="W55" s="21">
        <v>1</v>
      </c>
      <c r="X55" s="21" t="s">
        <v>227</v>
      </c>
      <c r="Y55" s="21">
        <v>3</v>
      </c>
      <c r="Z55" s="21">
        <v>3</v>
      </c>
      <c r="AA55" s="21">
        <v>1</v>
      </c>
      <c r="AB55" s="21">
        <v>2</v>
      </c>
      <c r="AC55" s="21">
        <v>2</v>
      </c>
      <c r="AD55" s="21">
        <f>($S55-1)*($Z55*$AC55*$Y55+$AA55*$AB55*$AC55)+AD$5*IF($V55=0,$Z55,$AB55)+($T55-1)*$Z55*$AC55+1</f>
        <v>38</v>
      </c>
      <c r="AE55" s="21">
        <f t="shared" si="6"/>
        <v>39</v>
      </c>
    </row>
    <row r="56" spans="2:31">
      <c r="B56" s="252" t="str">
        <f t="shared" ca="1" si="4"/>
        <v>5 Countries</v>
      </c>
      <c r="C56" s="540" t="s">
        <v>37</v>
      </c>
      <c r="D56" s="540" t="s">
        <v>491</v>
      </c>
      <c r="E56" s="240" cm="1">
        <f t="array" aca="1" ref="E56" ca="1">OFFSET(INDIRECT($R56),int_Country_Offset,$AD56)</f>
        <v>5000</v>
      </c>
      <c r="F56" s="132" t="str" cm="1">
        <f t="array" aca="1" ref="F56" ca="1">IFERROR(VLOOKUP((OFFSET(INDIRECT($R56),0,$AD56)),Dict!$A$52:$B$56,2,FALSE),(OFFSET(INDIRECT($R56),0,$AD56)))</f>
        <v>Thousand metric tons</v>
      </c>
      <c r="G56" s="240" cm="1">
        <f t="array" aca="1" ref="G56" ca="1">OFFSET(INDIRECT($R56),int_Country_Offset,$AE56)</f>
        <v>7</v>
      </c>
      <c r="H56" s="539" t="s">
        <v>477</v>
      </c>
      <c r="I56" s="235" t="str">
        <f t="shared" si="5"/>
        <v>High value better</v>
      </c>
      <c r="J56" s="236">
        <f ca="1">IF($X56="max",MAX(OFFSET('Model - OLD'!$C$12,1,$U56+$U$5*$V56,25)),IF($X56="min",MIN(OFFSET('Model - OLD'!$C$12,1,$U56+$U$5*$V56,25)),""))</f>
        <v>260000</v>
      </c>
      <c r="K56" s="253">
        <f ca="1">IF($X56="","",COUNTIF(OFFSET('Model - OLD'!$C$12,1,$U56+$U$5*$V56,25),"&gt;0"))</f>
        <v>5</v>
      </c>
      <c r="Q56" s="21" cm="1">
        <f t="array" aca="1" ref="Q56" ca="1">OFFSET(INDIRECT($R56),int_Country_Offset,$AD56)</f>
        <v>5000</v>
      </c>
      <c r="R56" s="21" t="s">
        <v>468</v>
      </c>
      <c r="S56" s="21">
        <v>4</v>
      </c>
      <c r="T56" s="21">
        <v>1</v>
      </c>
      <c r="U56" s="232">
        <f t="shared" ref="U56" si="9">U53+10</f>
        <v>41</v>
      </c>
      <c r="V56" s="21">
        <v>0</v>
      </c>
      <c r="W56" s="21">
        <v>1</v>
      </c>
      <c r="X56" s="21" t="s">
        <v>227</v>
      </c>
      <c r="Y56" s="21">
        <v>3</v>
      </c>
      <c r="Z56" s="21">
        <v>3</v>
      </c>
      <c r="AA56" s="21">
        <v>1</v>
      </c>
      <c r="AB56" s="21">
        <v>2</v>
      </c>
      <c r="AC56" s="21">
        <v>2</v>
      </c>
      <c r="AD56" s="21">
        <f t="shared" si="8"/>
        <v>70</v>
      </c>
      <c r="AE56" s="21">
        <f t="shared" si="6"/>
        <v>71</v>
      </c>
    </row>
    <row r="57" spans="2:31">
      <c r="B57" s="252" t="str">
        <f ca="1">IF(OR(K57&lt;2,K57=""), "", HYPERLINK("#", K57 &amp; " Countries"))</f>
        <v>6 Countries</v>
      </c>
      <c r="C57" s="540" t="s">
        <v>37</v>
      </c>
      <c r="D57" s="540" t="s">
        <v>88</v>
      </c>
      <c r="E57" s="240" cm="1">
        <f t="array" aca="1" ref="E57" ca="1">OFFSET(INDIRECT($R57),int_Country_Offset,$AD57)</f>
        <v>173.9</v>
      </c>
      <c r="F57" s="132" t="str" cm="1">
        <f t="array" aca="1" ref="F57" ca="1">IFERROR(VLOOKUP((OFFSET(INDIRECT($R57),0,$AD57)),Dict!$A$52:$B$56,2,FALSE),(OFFSET(INDIRECT($R57),0,$AD57)))</f>
        <v>Thousand metric tons</v>
      </c>
      <c r="G57" s="240" cm="1">
        <f t="array" aca="1" ref="G57" ca="1">OFFSET(INDIRECT($R57),int_Country_Offset,$AE57)</f>
        <v>7</v>
      </c>
      <c r="H57" s="68" t="s">
        <v>67</v>
      </c>
      <c r="I57" s="235" t="str">
        <f>IF(X57="min","Low value better","High value better")</f>
        <v>High value better</v>
      </c>
      <c r="J57" s="236">
        <f ca="1">IF($X57="max",MAX(OFFSET('Model - OLD'!$C$12,1,$U57+$U$5*$V57,25)),IF($X57="min",MIN(OFFSET('Model - OLD'!$C$12,1,$U57+$U$5*$V57,25)),""))</f>
        <v>18310</v>
      </c>
      <c r="K57" s="253">
        <f ca="1">IF($X57="","",COUNTIF(OFFSET('Model - OLD'!$C$12,1,$U57+$U$5*$V57,25),"&gt;0"))</f>
        <v>6</v>
      </c>
      <c r="Q57" s="21" cm="1">
        <f t="array" aca="1" ref="Q57" ca="1">OFFSET(INDIRECT($R57),int_Country_Offset,$AD57)</f>
        <v>173.9</v>
      </c>
      <c r="R57" s="21" t="s">
        <v>468</v>
      </c>
      <c r="S57" s="21">
        <v>4</v>
      </c>
      <c r="T57" s="21">
        <v>2</v>
      </c>
      <c r="U57" s="232">
        <f>U54+10</f>
        <v>43</v>
      </c>
      <c r="V57" s="21">
        <v>0</v>
      </c>
      <c r="W57" s="21">
        <v>1</v>
      </c>
      <c r="X57" s="21" t="s">
        <v>227</v>
      </c>
      <c r="Y57" s="21">
        <v>3</v>
      </c>
      <c r="Z57" s="21">
        <v>3</v>
      </c>
      <c r="AA57" s="21">
        <v>1</v>
      </c>
      <c r="AB57" s="21">
        <v>2</v>
      </c>
      <c r="AC57" s="21">
        <v>2</v>
      </c>
      <c r="AD57" s="21">
        <f>($S57-1)*($Z57*$AC57*$Y57+$AA57*$AB57*$AC57)+AD$5*IF($V57=0,$Z57,$AB57)+($T57-1)*$Z57*$AC57+1</f>
        <v>76</v>
      </c>
      <c r="AE57" s="21">
        <f t="shared" si="6"/>
        <v>77</v>
      </c>
    </row>
    <row r="58" spans="2:31">
      <c r="B58" s="252" t="str">
        <f t="shared" ca="1" si="4"/>
        <v>8 Countries</v>
      </c>
      <c r="C58" s="540" t="s">
        <v>37</v>
      </c>
      <c r="D58" s="540" t="s">
        <v>492</v>
      </c>
      <c r="E58" s="240" cm="1">
        <f t="array" aca="1" ref="E58" ca="1">OFFSET(INDIRECT($R58),int_Country_Offset,$AD58)</f>
        <v>0</v>
      </c>
      <c r="F58" s="132" t="str" cm="1">
        <f t="array" aca="1" ref="F58" ca="1">IFERROR(VLOOKUP((OFFSET(INDIRECT($R58),0,$AD58)),Dict!$A$52:$B$56,2,FALSE),(OFFSET(INDIRECT($R58),0,$AD58)))</f>
        <v>Thousand metric tons</v>
      </c>
      <c r="G58" s="240" cm="1">
        <f t="array" aca="1" ref="G58" ca="1">OFFSET(INDIRECT($R58),int_Country_Offset,$AE58)</f>
        <v>5</v>
      </c>
      <c r="H58" s="68" t="s">
        <v>67</v>
      </c>
      <c r="I58" s="235" t="str">
        <f t="shared" si="5"/>
        <v>High value better</v>
      </c>
      <c r="J58" s="236">
        <f ca="1">IF($X58="max",MAX(OFFSET('Model - OLD'!$C$12,1,$U58+$U$5*$V58,25)),IF($X58="min",MIN(OFFSET('Model - OLD'!$C$12,1,$U58+$U$5*$V58,25)),""))</f>
        <v>3666</v>
      </c>
      <c r="K58" s="253">
        <f ca="1">IF($X58="","",COUNTIF(OFFSET('Model - OLD'!$C$12,1,$U58+$U$5*$V58,25),"&gt;0"))</f>
        <v>8</v>
      </c>
      <c r="Q58" s="21" cm="1">
        <f t="array" aca="1" ref="Q58" ca="1">OFFSET(INDIRECT($R58),int_Country_Offset,$AD58)</f>
        <v>0</v>
      </c>
      <c r="R58" s="21" t="s">
        <v>468</v>
      </c>
      <c r="S58" s="21">
        <v>4</v>
      </c>
      <c r="T58" s="21">
        <v>3</v>
      </c>
      <c r="U58" s="232">
        <f>U55+10</f>
        <v>45</v>
      </c>
      <c r="V58" s="21">
        <v>0</v>
      </c>
      <c r="W58" s="21">
        <v>1</v>
      </c>
      <c r="X58" s="21" t="s">
        <v>227</v>
      </c>
      <c r="Y58" s="21">
        <v>3</v>
      </c>
      <c r="Z58" s="21">
        <v>3</v>
      </c>
      <c r="AA58" s="21">
        <v>1</v>
      </c>
      <c r="AB58" s="21">
        <v>2</v>
      </c>
      <c r="AC58" s="21">
        <v>2</v>
      </c>
      <c r="AD58" s="21">
        <f t="shared" ref="AD58" si="10">($S58-1)*($Z58*$AC58*$Y58+$AA58*$AB58*$AC58)+AD$5*IF($V58=0,$Z58,$AB58)+($T58-1)*$Z58*$AC58+1</f>
        <v>82</v>
      </c>
      <c r="AE58" s="21">
        <f t="shared" ref="AE58:AE59" si="11">AD58+1</f>
        <v>83</v>
      </c>
    </row>
    <row r="59" spans="2:31" collapsed="1">
      <c r="B59" s="254" t="str">
        <f t="shared" ca="1" si="4"/>
        <v>25 Countries</v>
      </c>
      <c r="C59" s="541" t="s">
        <v>217</v>
      </c>
      <c r="D59" s="541"/>
      <c r="E59" s="522" cm="1">
        <f t="array" aca="1" ref="E59" ca="1">OFFSET(INDIRECT($R59),int_Country_Offset,$AD59)</f>
        <v>5.4</v>
      </c>
      <c r="F59" s="139" t="s">
        <v>120</v>
      </c>
      <c r="G59" s="141" cm="1">
        <f t="array" aca="1" ref="G59" ca="1">OFFSET(INDIRECT($R59),int_Country_Offset,$AE59)</f>
        <v>8</v>
      </c>
      <c r="H59" s="140"/>
      <c r="I59" s="237" t="str">
        <f t="shared" si="5"/>
        <v>Low value better</v>
      </c>
      <c r="J59" s="238">
        <f ca="1">IF($X59="max",MAX(OFFSET('Model - OLD'!$C$12,1,$U59+$U$5*$V59,25)),IF($X59="min",MIN(OFFSET('Model - OLD'!$C$12,1,$U59+$U$5*$V59,25)),""))</f>
        <v>1</v>
      </c>
      <c r="K59" s="255">
        <f ca="1">IF($X59="","",COUNTIF(OFFSET('Model - OLD'!$C$12,1,$U59+$U$5*$V59,25),"&gt;0"))</f>
        <v>25</v>
      </c>
      <c r="R59" s="21" t="s">
        <v>468</v>
      </c>
      <c r="S59" s="21">
        <v>6</v>
      </c>
      <c r="T59" s="21">
        <v>1</v>
      </c>
      <c r="U59" s="21">
        <v>51</v>
      </c>
      <c r="V59" s="21">
        <v>1</v>
      </c>
      <c r="W59" s="21">
        <v>1</v>
      </c>
      <c r="X59" s="21" t="s">
        <v>228</v>
      </c>
      <c r="Y59" s="21">
        <v>3</v>
      </c>
      <c r="Z59" s="21">
        <v>3</v>
      </c>
      <c r="AA59" s="21">
        <v>1</v>
      </c>
      <c r="AB59" s="21">
        <v>2</v>
      </c>
      <c r="AC59" s="21">
        <v>2</v>
      </c>
      <c r="AD59" s="21">
        <f>($S59-1)*(Z59*AC59*Y59+AA59*AB59*AC59)+int_Year_Offset*IF(V59=0,$Z59,AB59)+($T59-1)*Z59*AC59+1</f>
        <v>113</v>
      </c>
      <c r="AE59" s="21">
        <f t="shared" si="11"/>
        <v>114</v>
      </c>
    </row>
    <row r="60" spans="2:31">
      <c r="B60" s="135" t="s">
        <v>196</v>
      </c>
      <c r="C60" s="135"/>
      <c r="D60" s="135"/>
      <c r="E60" s="134"/>
      <c r="F60" s="134"/>
      <c r="G60" s="146"/>
      <c r="H60" s="134"/>
      <c r="I60" s="134"/>
      <c r="J60" s="134"/>
      <c r="K60" s="134"/>
    </row>
    <row r="61" spans="2:31">
      <c r="B61" s="252" t="str">
        <f t="shared" ref="B61:B68" ca="1" si="12">IF(OR(K61&lt;2,K61=""), "", HYPERLINK("#", K61 &amp; " Countries"))</f>
        <v>11 Countries</v>
      </c>
      <c r="C61" s="90" t="s">
        <v>153</v>
      </c>
      <c r="D61" s="90"/>
      <c r="E61" s="131" cm="1">
        <f t="array" aca="1" ref="E61" ca="1">OFFSET(INDIRECT($R61),int_Country_Offset,$AD61)</f>
        <v>0</v>
      </c>
      <c r="F61" s="132" t="str" cm="1">
        <f t="array" aca="1" ref="F61" ca="1">IFERROR(VLOOKUP((OFFSET(INDIRECT($R61),0,$AD61)),Dict!$A$52:$B$56,2,FALSE),(OFFSET(INDIRECT($R61),0,$AD61)))</f>
        <v>Metric tons per year</v>
      </c>
      <c r="G61" s="131" cm="1">
        <f t="array" aca="1" ref="G61" ca="1">OFFSET(INDIRECT($R61),int_Country_Offset,$AE61)</f>
        <v>5</v>
      </c>
      <c r="H61" s="256" t="s">
        <v>67</v>
      </c>
      <c r="I61" s="235" t="str">
        <f t="shared" ref="I61:I68" si="13">IF(X61="min","Low value better","High value better")</f>
        <v>High value better</v>
      </c>
      <c r="J61" s="236">
        <f ca="1">IF($X61="max",MAX(OFFSET('Model - OLD'!$C$12,1,$U61+$U$5*$V61,25)),IF($X61="min",MIN(OFFSET('Model - OLD'!$C$12,1,$U61+$U$5*$V61,25)),""))</f>
        <v>3600</v>
      </c>
      <c r="K61" s="253">
        <f ca="1">IF($X61="","",COUNTIF(OFFSET('Model - OLD'!$C$12,1,$U61+$U$5*$V61,25),"&gt;0"))</f>
        <v>11</v>
      </c>
      <c r="R61" s="523" t="s">
        <v>469</v>
      </c>
      <c r="S61" s="21">
        <v>5</v>
      </c>
      <c r="T61" s="21">
        <v>1</v>
      </c>
      <c r="U61" s="21">
        <v>1</v>
      </c>
      <c r="V61" s="21">
        <v>0</v>
      </c>
      <c r="W61" s="21">
        <v>1</v>
      </c>
      <c r="X61" s="21" t="s">
        <v>227</v>
      </c>
      <c r="Y61" s="21">
        <v>1</v>
      </c>
      <c r="Z61" s="21">
        <v>3</v>
      </c>
      <c r="AA61" s="21">
        <v>0</v>
      </c>
      <c r="AB61" s="21">
        <v>0</v>
      </c>
      <c r="AC61" s="21">
        <v>2</v>
      </c>
      <c r="AD61" s="21">
        <f>($S61-1)*($Z61*$AC61*$Y61+$AA61*$AB61*$AC61)+AD$5*IF($V61=0,$Z61,$AB61)+($T61-1)*$Z61*$AC61+1</f>
        <v>28</v>
      </c>
      <c r="AE61" s="21">
        <f>AD61+1</f>
        <v>29</v>
      </c>
    </row>
    <row r="62" spans="2:31">
      <c r="B62" s="252" t="str">
        <f t="shared" ca="1" si="12"/>
        <v>11 Countries</v>
      </c>
      <c r="C62" s="90" t="s">
        <v>197</v>
      </c>
      <c r="D62" s="90"/>
      <c r="E62" s="131" cm="1">
        <f t="array" aca="1" ref="E62" ca="1">OFFSET(INDIRECT($R62),int_Country_Offset,$AD62)</f>
        <v>0</v>
      </c>
      <c r="F62" s="132" t="str" cm="1">
        <f t="array" aca="1" ref="F62" ca="1">IFERROR(VLOOKUP((OFFSET(INDIRECT($R62),0,$AD62)),Dict!$A$52:$B$56,2,FALSE),(OFFSET(INDIRECT($R62),0,$AD62)))</f>
        <v>Metric tons per year</v>
      </c>
      <c r="G62" s="131" cm="1">
        <f t="array" aca="1" ref="G62" ca="1">OFFSET(INDIRECT($R62),int_Country_Offset,$AE62)</f>
        <v>7</v>
      </c>
      <c r="H62" s="256" t="s">
        <v>67</v>
      </c>
      <c r="I62" s="235" t="str">
        <f t="shared" si="13"/>
        <v>High value better</v>
      </c>
      <c r="J62" s="236">
        <f ca="1">IF($X62="max",MAX(OFFSET('Model - OLD'!$C$12,1,$U62+$U$5*$V62,25)),IF($X62="min",MIN(OFFSET('Model - OLD'!$C$12,1,$U62+$U$5*$V62,25)),""))</f>
        <v>3600</v>
      </c>
      <c r="K62" s="253">
        <f ca="1">IF($X62="","",COUNTIF(OFFSET('Model - OLD'!$C$12,1,$U62+$U$5*$V62,25),"&gt;0"))</f>
        <v>11</v>
      </c>
      <c r="R62" s="523" t="s">
        <v>469</v>
      </c>
      <c r="S62" s="21">
        <v>4</v>
      </c>
      <c r="T62" s="21">
        <v>1</v>
      </c>
      <c r="U62" s="21">
        <v>1</v>
      </c>
      <c r="V62" s="21">
        <v>0</v>
      </c>
      <c r="W62" s="21">
        <v>1</v>
      </c>
      <c r="X62" s="21" t="s">
        <v>227</v>
      </c>
      <c r="Y62" s="21">
        <v>1</v>
      </c>
      <c r="Z62" s="21">
        <v>3</v>
      </c>
      <c r="AA62" s="21">
        <v>0</v>
      </c>
      <c r="AB62" s="21">
        <v>0</v>
      </c>
      <c r="AC62" s="21">
        <v>2</v>
      </c>
      <c r="AD62" s="21">
        <f t="shared" ref="AD62:AD100" si="14">($S62-1)*($Z62*$AC62*$Y62+$AA62*$AB62*$AC62)+AD$5*IF($V62=0,$Z62,$AB62)+($T62-1)*$Z62*$AC62+1</f>
        <v>22</v>
      </c>
      <c r="AE62" s="21">
        <f t="shared" ref="AE62:AE68" si="15">AD62+1</f>
        <v>23</v>
      </c>
    </row>
    <row r="63" spans="2:31">
      <c r="B63" s="252" t="str">
        <f t="shared" ca="1" si="12"/>
        <v>11 Countries</v>
      </c>
      <c r="C63" s="90" t="s">
        <v>61</v>
      </c>
      <c r="D63" s="90"/>
      <c r="E63" s="131" cm="1">
        <f t="array" aca="1" ref="E63" ca="1">OFFSET(INDIRECT($R63),int_Country_Offset,$AD63)</f>
        <v>0</v>
      </c>
      <c r="F63" s="132" t="str" cm="1">
        <f t="array" aca="1" ref="F63" ca="1">IFERROR(VLOOKUP((OFFSET(INDIRECT($R63),0,$AD63)),Dict!$A$52:$B$56,2,FALSE),(OFFSET(INDIRECT($R63),0,$AD63)))</f>
        <v>Metric tons per year</v>
      </c>
      <c r="G63" s="131" cm="1">
        <f t="array" aca="1" ref="G63" ca="1">OFFSET(INDIRECT($R63),int_Country_Offset,$AE63)</f>
        <v>10</v>
      </c>
      <c r="H63" s="256" t="s">
        <v>67</v>
      </c>
      <c r="I63" s="235" t="str">
        <f t="shared" si="13"/>
        <v>High value better</v>
      </c>
      <c r="J63" s="236">
        <f ca="1">IF($X63="max",MAX(OFFSET('Model - OLD'!$C$12,1,$U63+$U$5*$V63,25)),IF($X63="min",MIN(OFFSET('Model - OLD'!$C$12,1,$U63+$U$5*$V63,25)),""))</f>
        <v>3600</v>
      </c>
      <c r="K63" s="253">
        <f ca="1">IF($X63="","",COUNTIF(OFFSET('Model - OLD'!$C$12,1,$U63+$U$5*$V63,25),"&gt;0"))</f>
        <v>11</v>
      </c>
      <c r="R63" s="523" t="s">
        <v>469</v>
      </c>
      <c r="S63" s="21">
        <v>2</v>
      </c>
      <c r="T63" s="21">
        <v>1</v>
      </c>
      <c r="U63" s="21">
        <v>1</v>
      </c>
      <c r="V63" s="21">
        <v>0</v>
      </c>
      <c r="W63" s="21">
        <v>1</v>
      </c>
      <c r="X63" s="21" t="s">
        <v>227</v>
      </c>
      <c r="Y63" s="21">
        <v>1</v>
      </c>
      <c r="Z63" s="21">
        <v>3</v>
      </c>
      <c r="AA63" s="21">
        <v>0</v>
      </c>
      <c r="AB63" s="21">
        <v>0</v>
      </c>
      <c r="AC63" s="21">
        <v>2</v>
      </c>
      <c r="AD63" s="21">
        <f t="shared" si="14"/>
        <v>10</v>
      </c>
      <c r="AE63" s="21">
        <f t="shared" si="15"/>
        <v>11</v>
      </c>
    </row>
    <row r="64" spans="2:31">
      <c r="B64" s="252" t="str">
        <f t="shared" ca="1" si="12"/>
        <v>11 Countries</v>
      </c>
      <c r="C64" s="90" t="s">
        <v>198</v>
      </c>
      <c r="D64" s="90"/>
      <c r="E64" s="131" cm="1">
        <f t="array" aca="1" ref="E64" ca="1">OFFSET(INDIRECT($R64),int_Country_Offset,$AD64)</f>
        <v>0</v>
      </c>
      <c r="F64" s="132" t="str" cm="1">
        <f t="array" aca="1" ref="F64" ca="1">IFERROR(VLOOKUP((OFFSET(INDIRECT($R64),0,$AD64)),Dict!$A$52:$B$56,2,FALSE),(OFFSET(INDIRECT($R64),0,$AD64)))</f>
        <v>Metric tons per year</v>
      </c>
      <c r="G64" s="131" cm="1">
        <f t="array" aca="1" ref="G64" ca="1">OFFSET(INDIRECT($R64),int_Country_Offset,$AE64)</f>
        <v>8</v>
      </c>
      <c r="H64" s="256" t="s">
        <v>67</v>
      </c>
      <c r="I64" s="235" t="str">
        <f t="shared" si="13"/>
        <v>High value better</v>
      </c>
      <c r="J64" s="236">
        <f ca="1">IF($X64="max",MAX(OFFSET('Model - OLD'!$C$12,1,$U64+$U$5*$V64,25)),IF($X64="min",MIN(OFFSET('Model - OLD'!$C$12,1,$U64+$U$5*$V64,25)),""))</f>
        <v>3600</v>
      </c>
      <c r="K64" s="253">
        <f ca="1">IF($X64="","",COUNTIF(OFFSET('Model - OLD'!$C$12,1,$U64+$U$5*$V64,25),"&gt;0"))</f>
        <v>11</v>
      </c>
      <c r="R64" s="523" t="s">
        <v>469</v>
      </c>
      <c r="S64" s="21">
        <v>3</v>
      </c>
      <c r="T64" s="21">
        <v>1</v>
      </c>
      <c r="U64" s="21">
        <v>1</v>
      </c>
      <c r="V64" s="21">
        <v>0</v>
      </c>
      <c r="W64" s="21">
        <v>1</v>
      </c>
      <c r="X64" s="21" t="s">
        <v>227</v>
      </c>
      <c r="Y64" s="21">
        <v>1</v>
      </c>
      <c r="Z64" s="21">
        <v>3</v>
      </c>
      <c r="AA64" s="21">
        <v>0</v>
      </c>
      <c r="AB64" s="21">
        <v>0</v>
      </c>
      <c r="AC64" s="21">
        <v>2</v>
      </c>
      <c r="AD64" s="21">
        <f t="shared" si="14"/>
        <v>16</v>
      </c>
      <c r="AE64" s="21">
        <f t="shared" si="15"/>
        <v>17</v>
      </c>
    </row>
    <row r="65" spans="2:31">
      <c r="B65" s="252" t="str">
        <f t="shared" ca="1" si="12"/>
        <v>11 Countries</v>
      </c>
      <c r="C65" s="90" t="s">
        <v>271</v>
      </c>
      <c r="D65" s="90"/>
      <c r="E65" s="131" cm="1">
        <f t="array" aca="1" ref="E65" ca="1">OFFSET(INDIRECT($R65),int_Country_Offset,$AD65)</f>
        <v>0</v>
      </c>
      <c r="F65" s="132" t="str" cm="1">
        <f t="array" aca="1" ref="F65" ca="1">IFERROR(VLOOKUP((OFFSET(INDIRECT($R65),0,$AD65)),Dict!$A$52:$B$56,2,FALSE),(OFFSET(INDIRECT($R65),0,$AD65)))</f>
        <v>Million square meters per year</v>
      </c>
      <c r="G65" s="131" cm="1">
        <f t="array" aca="1" ref="G65" ca="1">OFFSET(INDIRECT($R65),int_Country_Offset,$AE65)</f>
        <v>7</v>
      </c>
      <c r="H65" s="256" t="s">
        <v>67</v>
      </c>
      <c r="I65" s="235" t="str">
        <f t="shared" si="13"/>
        <v>High value better</v>
      </c>
      <c r="J65" s="236">
        <f ca="1">IF($X65="max",MAX(OFFSET('Model - OLD'!$C$12,1,$U65+$U$5*$V65,25)),IF($X65="min",MIN(OFFSET('Model - OLD'!$C$12,1,$U65+$U$5*$V65,25)),""))</f>
        <v>3600</v>
      </c>
      <c r="K65" s="253">
        <f ca="1">IF($X65="","",COUNTIF(OFFSET('Model - OLD'!$C$12,1,$U65+$U$5*$V65,25),"&gt;0"))</f>
        <v>11</v>
      </c>
      <c r="R65" s="523" t="s">
        <v>469</v>
      </c>
      <c r="S65" s="21">
        <v>6</v>
      </c>
      <c r="T65" s="21">
        <v>1</v>
      </c>
      <c r="U65" s="21">
        <v>1</v>
      </c>
      <c r="V65" s="21">
        <v>0</v>
      </c>
      <c r="W65" s="21">
        <v>1</v>
      </c>
      <c r="X65" s="21" t="s">
        <v>227</v>
      </c>
      <c r="Y65" s="21">
        <v>1</v>
      </c>
      <c r="Z65" s="21">
        <v>3</v>
      </c>
      <c r="AA65" s="21">
        <v>0</v>
      </c>
      <c r="AB65" s="21">
        <v>0</v>
      </c>
      <c r="AC65" s="21">
        <v>2</v>
      </c>
      <c r="AD65" s="21">
        <f t="shared" si="14"/>
        <v>34</v>
      </c>
      <c r="AE65" s="21">
        <f t="shared" si="15"/>
        <v>35</v>
      </c>
    </row>
    <row r="66" spans="2:31">
      <c r="B66" s="252" t="str">
        <f t="shared" ca="1" si="12"/>
        <v>11 Countries</v>
      </c>
      <c r="C66" s="90" t="s">
        <v>199</v>
      </c>
      <c r="D66" s="90"/>
      <c r="E66" s="131" cm="1">
        <f t="array" aca="1" ref="E66" ca="1">OFFSET(INDIRECT($R66),int_Country_Offset,$AD66)</f>
        <v>8.75</v>
      </c>
      <c r="F66" s="132" t="str" cm="1">
        <f t="array" aca="1" ref="F66" ca="1">IFERROR(VLOOKUP((OFFSET(INDIRECT($R66),0,$AD66)),Dict!$A$52:$B$56,2,FALSE),(OFFSET(INDIRECT($R66),0,$AD66)))</f>
        <v>Gigawatt-hours per year</v>
      </c>
      <c r="G66" s="131" cm="1">
        <f t="array" aca="1" ref="G66" ca="1">OFFSET(INDIRECT($R66),int_Country_Offset,$AE66)</f>
        <v>9</v>
      </c>
      <c r="H66" s="256" t="s">
        <v>67</v>
      </c>
      <c r="I66" s="235" t="str">
        <f t="shared" si="13"/>
        <v>High value better</v>
      </c>
      <c r="J66" s="236">
        <f ca="1">IF($X66="max",MAX(OFFSET('Model - OLD'!$C$12,1,$U66+$U$5*$V66,25)),IF($X66="min",MIN(OFFSET('Model - OLD'!$C$12,1,$U66+$U$5*$V66,25)),""))</f>
        <v>3600</v>
      </c>
      <c r="K66" s="253">
        <f ca="1">IF($X66="","",COUNTIF(OFFSET('Model - OLD'!$C$12,1,$U66+$U$5*$V66,25),"&gt;0"))</f>
        <v>11</v>
      </c>
      <c r="R66" s="523" t="s">
        <v>469</v>
      </c>
      <c r="S66" s="21">
        <v>1</v>
      </c>
      <c r="T66" s="21">
        <v>1</v>
      </c>
      <c r="U66" s="21">
        <v>1</v>
      </c>
      <c r="V66" s="21">
        <v>0</v>
      </c>
      <c r="W66" s="21">
        <v>1</v>
      </c>
      <c r="X66" s="21" t="s">
        <v>227</v>
      </c>
      <c r="Y66" s="21">
        <v>1</v>
      </c>
      <c r="Z66" s="21">
        <v>3</v>
      </c>
      <c r="AA66" s="21">
        <v>0</v>
      </c>
      <c r="AB66" s="21">
        <v>0</v>
      </c>
      <c r="AC66" s="21">
        <v>2</v>
      </c>
      <c r="AD66" s="21">
        <f t="shared" si="14"/>
        <v>4</v>
      </c>
      <c r="AE66" s="21">
        <f t="shared" si="15"/>
        <v>5</v>
      </c>
    </row>
    <row r="67" spans="2:31">
      <c r="B67" s="252" t="str">
        <f t="shared" ref="B67" ca="1" si="16">IF(OR(K67&lt;2,K67=""), "", HYPERLINK("#", K67 &amp; " Countries"))</f>
        <v>11 Countries</v>
      </c>
      <c r="C67" s="90" t="s">
        <v>367</v>
      </c>
      <c r="D67" s="90"/>
      <c r="E67" s="131" cm="1">
        <f t="array" aca="1" ref="E67" ca="1">OFFSET(INDIRECT($R67),int_Country_Offset,$AD67)</f>
        <v>0</v>
      </c>
      <c r="F67" s="132" t="str" cm="1">
        <f t="array" aca="1" ref="F67" ca="1">IFERROR(VLOOKUP((OFFSET(INDIRECT($R67),0,$AD67)),Dict!$A$52:$B$56,2,FALSE),(OFFSET(INDIRECT($R67),0,$AD67)))</f>
        <v>Metric tons per year</v>
      </c>
      <c r="G67" s="131" cm="1">
        <f t="array" aca="1" ref="G67" ca="1">OFFSET(INDIRECT($R67),int_Country_Offset,$AE67)</f>
        <v>10</v>
      </c>
      <c r="H67" s="256" t="s">
        <v>67</v>
      </c>
      <c r="I67" s="235" t="str">
        <f t="shared" ref="I67" si="17">IF(X67="min","Low value better","High value better")</f>
        <v>High value better</v>
      </c>
      <c r="J67" s="236">
        <f ca="1">IF($X67="max",MAX(OFFSET('Model - OLD'!$C$12,1,$U67+$U$5*$V67,25)),IF($X67="min",MIN(OFFSET('Model - OLD'!$C$12,1,$U67+$U$5*$V67,25)),""))</f>
        <v>3600</v>
      </c>
      <c r="K67" s="253">
        <f ca="1">IF($X67="","",COUNTIF(OFFSET('Model - OLD'!$C$12,1,$U67+$U$5*$V67,25),"&gt;0"))</f>
        <v>11</v>
      </c>
      <c r="R67" s="523" t="s">
        <v>469</v>
      </c>
      <c r="S67" s="21">
        <v>7</v>
      </c>
      <c r="T67" s="21">
        <v>1</v>
      </c>
      <c r="U67" s="21">
        <v>1</v>
      </c>
      <c r="V67" s="21">
        <v>0</v>
      </c>
      <c r="W67" s="21">
        <v>1</v>
      </c>
      <c r="X67" s="21" t="s">
        <v>227</v>
      </c>
      <c r="Y67" s="21">
        <v>1</v>
      </c>
      <c r="Z67" s="21">
        <v>3</v>
      </c>
      <c r="AA67" s="21">
        <v>0</v>
      </c>
      <c r="AB67" s="21">
        <v>0</v>
      </c>
      <c r="AC67" s="21">
        <v>2</v>
      </c>
      <c r="AD67" s="21">
        <f t="shared" si="14"/>
        <v>40</v>
      </c>
      <c r="AE67" s="21">
        <f t="shared" si="15"/>
        <v>41</v>
      </c>
    </row>
    <row r="68" spans="2:31">
      <c r="B68" s="254" t="str">
        <f t="shared" ca="1" si="12"/>
        <v>25 Countries</v>
      </c>
      <c r="C68" s="116" t="s">
        <v>216</v>
      </c>
      <c r="D68" s="116"/>
      <c r="E68" s="138">
        <f ca="1">OFFSET('Model - OLD'!$C$12,$U$4,$U68+$U$5*$V68,1,1)</f>
        <v>1</v>
      </c>
      <c r="F68" s="139" t="s">
        <v>231</v>
      </c>
      <c r="G68" s="141" cm="1">
        <f t="array" aca="1" ref="G68" ca="1">OFFSET(INDIRECT($R68),int_Country_Offset,$AE68)</f>
        <v>15</v>
      </c>
      <c r="H68" s="256"/>
      <c r="I68" s="237" t="str">
        <f t="shared" si="13"/>
        <v>High value better</v>
      </c>
      <c r="J68" s="238">
        <f ca="1">IF($X68="max",MAX(OFFSET('Model - OLD'!$C$12,1,$U68+$U$5*$V68,25)),IF($X68="min",MIN(OFFSET('Model - OLD'!$C$12,1,$U68+$U$5*$V68,25)),""))</f>
        <v>5</v>
      </c>
      <c r="K68" s="255">
        <f ca="1">IF($X68="","",COUNTIF(OFFSET('Model - OLD'!$C$12,1,$U68+$U$5*$V68,25),"&gt;0"))</f>
        <v>25</v>
      </c>
      <c r="R68" s="523" t="s">
        <v>469</v>
      </c>
      <c r="S68" s="21">
        <v>8</v>
      </c>
      <c r="T68" s="21">
        <v>1</v>
      </c>
      <c r="U68" s="21">
        <v>1</v>
      </c>
      <c r="V68" s="21">
        <v>1</v>
      </c>
      <c r="W68" s="21">
        <v>1</v>
      </c>
      <c r="X68" s="21" t="s">
        <v>227</v>
      </c>
      <c r="Y68" s="21">
        <v>1</v>
      </c>
      <c r="Z68" s="21">
        <v>3</v>
      </c>
      <c r="AA68" s="21">
        <v>0</v>
      </c>
      <c r="AB68" s="21">
        <v>2</v>
      </c>
      <c r="AC68" s="21">
        <v>2</v>
      </c>
      <c r="AD68" s="21">
        <f t="shared" si="14"/>
        <v>45</v>
      </c>
      <c r="AE68" s="21">
        <f t="shared" si="15"/>
        <v>46</v>
      </c>
    </row>
    <row r="69" spans="2:31" collapsed="1">
      <c r="B69" s="135" t="s">
        <v>406</v>
      </c>
      <c r="C69" s="135"/>
      <c r="D69" s="135"/>
      <c r="E69" s="134"/>
      <c r="F69" s="134"/>
      <c r="G69" s="146"/>
      <c r="H69" s="134"/>
      <c r="I69" s="134"/>
      <c r="J69" s="134"/>
      <c r="K69" s="134"/>
    </row>
    <row r="70" spans="2:31" ht="12.75" customHeight="1">
      <c r="B70" s="252" t="str">
        <f t="shared" ref="B70:B80" ca="1" si="18">IF(OR(K70&lt;2,K70=""), "", HYPERLINK("#", K70 &amp; " Countries"))</f>
        <v>11 Countries</v>
      </c>
      <c r="C70" s="34" t="s">
        <v>408</v>
      </c>
      <c r="D70" s="34" t="s">
        <v>411</v>
      </c>
      <c r="E70" s="137" cm="1">
        <f t="array" aca="1" ref="E70" ca="1">OFFSET(INDIRECT($R70),int_Country_Offset,$AD70)</f>
        <v>73.45</v>
      </c>
      <c r="F70" s="132" t="str" cm="1">
        <f t="array" aca="1" ref="F70" ca="1">IFERROR(VLOOKUP((OFFSET(INDIRECT($R70),0,$AD70)),Dict!$A$52:$B$56,2,FALSE),(OFFSET(INDIRECT($R70),0,$AD70)))</f>
        <v>Score</v>
      </c>
      <c r="G70" s="131" cm="1">
        <f t="array" aca="1" ref="G70" ca="1">OFFSET(INDIRECT($R70),int_Country_Offset,$AE70)</f>
        <v>24</v>
      </c>
      <c r="H70" s="256" t="s">
        <v>67</v>
      </c>
      <c r="I70" s="235" t="str">
        <f t="shared" ref="I70:I80" si="19">IF(X70="min","Low value better","High value better")</f>
        <v>High value better</v>
      </c>
      <c r="J70" s="236">
        <f ca="1">IF($X70="max",MAX(OFFSET('Model - OLD'!$C$12,1,$U70+$U$5*$V70,25)),IF($X70="min",MIN(OFFSET('Model - OLD'!$C$12,1,$U70+$U$5*$V70,25)),""))</f>
        <v>3600</v>
      </c>
      <c r="K70" s="253">
        <f ca="1">IF($X70="","",COUNTIF(OFFSET('Model - OLD'!$C$12,1,$U70+$U$5*$V70,25),"&gt;0"))</f>
        <v>11</v>
      </c>
      <c r="R70" s="21" t="s">
        <v>470</v>
      </c>
      <c r="S70" s="21">
        <v>1</v>
      </c>
      <c r="T70" s="21">
        <v>1</v>
      </c>
      <c r="U70" s="21">
        <v>1</v>
      </c>
      <c r="V70" s="21">
        <v>0</v>
      </c>
      <c r="W70" s="21">
        <v>1</v>
      </c>
      <c r="X70" s="21" t="s">
        <v>227</v>
      </c>
      <c r="Y70" s="21">
        <v>1</v>
      </c>
      <c r="Z70" s="21">
        <v>2</v>
      </c>
      <c r="AA70" s="21">
        <v>0</v>
      </c>
      <c r="AB70" s="21">
        <v>2</v>
      </c>
      <c r="AC70" s="21">
        <v>2</v>
      </c>
      <c r="AD70" s="21">
        <f t="shared" si="14"/>
        <v>3</v>
      </c>
      <c r="AE70" s="21">
        <f>AD70+1</f>
        <v>4</v>
      </c>
    </row>
    <row r="71" spans="2:31" ht="12.75" customHeight="1">
      <c r="B71" s="252" t="str">
        <f t="shared" ca="1" si="18"/>
        <v>11 Countries</v>
      </c>
      <c r="C71" s="34" t="s">
        <v>408</v>
      </c>
      <c r="D71" s="34" t="s">
        <v>412</v>
      </c>
      <c r="E71" s="137" cm="1">
        <f t="array" aca="1" ref="E71" ca="1">OFFSET(INDIRECT($R71),int_Country_Offset,$AD71)</f>
        <v>472.21</v>
      </c>
      <c r="F71" s="132" t="str" cm="1">
        <f t="array" aca="1" ref="F71" ca="1">IFERROR(VLOOKUP((OFFSET(INDIRECT($R71),0,$AD71)),Dict!$A$52:$B$56,2,FALSE),(OFFSET(INDIRECT($R71),0,$AD71)))</f>
        <v>grams of CO2 equivalent per kilowatt-hour</v>
      </c>
      <c r="G71" s="131" cm="1">
        <f t="array" aca="1" ref="G71" ca="1">OFFSET(INDIRECT($R71),int_Country_Offset,$AE71)</f>
        <v>18</v>
      </c>
      <c r="H71" s="256" t="s">
        <v>67</v>
      </c>
      <c r="I71" s="235" t="str">
        <f t="shared" si="19"/>
        <v>High value better</v>
      </c>
      <c r="J71" s="236">
        <f ca="1">IF($X71="max",MAX(OFFSET('Model - OLD'!$C$12,1,$U71+$U$5*$V71,25)),IF($X71="min",MIN(OFFSET('Model - OLD'!$C$12,1,$U71+$U$5*$V71,25)),""))</f>
        <v>3600</v>
      </c>
      <c r="K71" s="253">
        <f ca="1">IF($X71="","",COUNTIF(OFFSET('Model - OLD'!$C$12,1,$U71+$U$5*$V71,25),"&gt;0"))</f>
        <v>11</v>
      </c>
      <c r="R71" s="21" t="s">
        <v>470</v>
      </c>
      <c r="S71" s="21">
        <v>2</v>
      </c>
      <c r="T71" s="21">
        <v>1</v>
      </c>
      <c r="U71" s="21">
        <v>1</v>
      </c>
      <c r="V71" s="21">
        <v>0</v>
      </c>
      <c r="W71" s="21">
        <v>1</v>
      </c>
      <c r="X71" s="21" t="s">
        <v>227</v>
      </c>
      <c r="Y71" s="21">
        <v>1</v>
      </c>
      <c r="Z71" s="21">
        <v>2</v>
      </c>
      <c r="AA71" s="21">
        <v>0</v>
      </c>
      <c r="AB71" s="21">
        <v>2</v>
      </c>
      <c r="AC71" s="21">
        <v>2</v>
      </c>
      <c r="AD71" s="21">
        <f t="shared" si="14"/>
        <v>7</v>
      </c>
      <c r="AE71" s="21">
        <f t="shared" ref="AE71:AE91" si="20">AD71+1</f>
        <v>8</v>
      </c>
    </row>
    <row r="72" spans="2:31" ht="12.75" customHeight="1">
      <c r="B72" s="252" t="str">
        <f t="shared" ca="1" si="18"/>
        <v>11 Countries</v>
      </c>
      <c r="C72" s="34" t="s">
        <v>408</v>
      </c>
      <c r="D72" s="34" t="s">
        <v>413</v>
      </c>
      <c r="E72" s="137" cm="1">
        <f t="array" aca="1" ref="E72" ca="1">OFFSET(INDIRECT($R72),int_Country_Offset,$AD72)</f>
        <v>176</v>
      </c>
      <c r="F72" s="132" t="str" cm="1">
        <f t="array" aca="1" ref="F72" ca="1">IFERROR(VLOOKUP((OFFSET(INDIRECT($R72),0,$AD72)),Dict!$A$52:$B$56,2,FALSE),(OFFSET(INDIRECT($R72),0,$AD72)))</f>
        <v>Score</v>
      </c>
      <c r="G72" s="131" cm="1">
        <f t="array" aca="1" ref="G72" ca="1">OFFSET(INDIRECT($R72),int_Country_Offset,$AE72)</f>
        <v>16</v>
      </c>
      <c r="H72" s="539" t="s">
        <v>478</v>
      </c>
      <c r="I72" s="235" t="str">
        <f t="shared" si="19"/>
        <v>High value better</v>
      </c>
      <c r="J72" s="236">
        <f ca="1">IF($X72="max",MAX(OFFSET('Model - OLD'!$C$12,1,$U72+$U$5*$V72,25)),IF($X72="min",MIN(OFFSET('Model - OLD'!$C$12,1,$U72+$U$5*$V72,25)),""))</f>
        <v>3600</v>
      </c>
      <c r="K72" s="253">
        <f ca="1">IF($X72="","",COUNTIF(OFFSET('Model - OLD'!$C$12,1,$U72+$U$5*$V72,25),"&gt;0"))</f>
        <v>11</v>
      </c>
      <c r="R72" s="21" t="s">
        <v>470</v>
      </c>
      <c r="S72" s="21">
        <v>3</v>
      </c>
      <c r="T72" s="21">
        <v>1</v>
      </c>
      <c r="U72" s="21">
        <v>1</v>
      </c>
      <c r="V72" s="21">
        <v>0</v>
      </c>
      <c r="W72" s="21">
        <v>1</v>
      </c>
      <c r="X72" s="21" t="s">
        <v>227</v>
      </c>
      <c r="Y72" s="21">
        <v>1</v>
      </c>
      <c r="Z72" s="21">
        <v>2</v>
      </c>
      <c r="AA72" s="21">
        <v>0</v>
      </c>
      <c r="AB72" s="21">
        <v>2</v>
      </c>
      <c r="AC72" s="21">
        <v>2</v>
      </c>
      <c r="AD72" s="21">
        <f t="shared" si="14"/>
        <v>11</v>
      </c>
      <c r="AE72" s="21">
        <f t="shared" si="20"/>
        <v>12</v>
      </c>
    </row>
    <row r="73" spans="2:31" ht="12.75" customHeight="1">
      <c r="B73" s="252" t="str">
        <f t="shared" ca="1" si="18"/>
        <v>11 Countries</v>
      </c>
      <c r="C73" s="34" t="s">
        <v>408</v>
      </c>
      <c r="D73" s="34" t="s">
        <v>414</v>
      </c>
      <c r="E73" s="137" cm="1">
        <f t="array" aca="1" ref="E73" ca="1">OFFSET(INDIRECT($R73),int_Country_Offset,$AD73)</f>
        <v>40.9</v>
      </c>
      <c r="F73" s="132" t="str" cm="1">
        <f t="array" aca="1" ref="F73" ca="1">IFERROR(VLOOKUP((OFFSET(INDIRECT($R73),0,$AD73)),Dict!$A$52:$B$56,2,FALSE),(OFFSET(INDIRECT($R73),0,$AD73)))</f>
        <v>Score</v>
      </c>
      <c r="G73" s="131" cm="1">
        <f t="array" aca="1" ref="G73" ca="1">OFFSET(INDIRECT($R73),int_Country_Offset,$AE73)</f>
        <v>21</v>
      </c>
      <c r="H73" s="539" t="s">
        <v>480</v>
      </c>
      <c r="I73" s="235" t="str">
        <f t="shared" si="19"/>
        <v>High value better</v>
      </c>
      <c r="J73" s="236">
        <f ca="1">IF($X73="max",MAX(OFFSET('Model - OLD'!$C$12,1,$U73+$U$5*$V73,25)),IF($X73="min",MIN(OFFSET('Model - OLD'!$C$12,1,$U73+$U$5*$V73,25)),""))</f>
        <v>3600</v>
      </c>
      <c r="K73" s="253">
        <f ca="1">IF($X73="","",COUNTIF(OFFSET('Model - OLD'!$C$12,1,$U73+$U$5*$V73,25),"&gt;0"))</f>
        <v>11</v>
      </c>
      <c r="R73" s="21" t="s">
        <v>470</v>
      </c>
      <c r="S73" s="21">
        <v>4</v>
      </c>
      <c r="T73" s="21">
        <v>1</v>
      </c>
      <c r="U73" s="21">
        <v>1</v>
      </c>
      <c r="V73" s="21">
        <v>0</v>
      </c>
      <c r="W73" s="21">
        <v>1</v>
      </c>
      <c r="X73" s="21" t="s">
        <v>227</v>
      </c>
      <c r="Y73" s="21">
        <v>1</v>
      </c>
      <c r="Z73" s="21">
        <v>2</v>
      </c>
      <c r="AA73" s="21">
        <v>0</v>
      </c>
      <c r="AB73" s="21">
        <v>2</v>
      </c>
      <c r="AC73" s="21">
        <v>2</v>
      </c>
      <c r="AD73" s="21">
        <f t="shared" si="14"/>
        <v>15</v>
      </c>
      <c r="AE73" s="21">
        <f t="shared" si="20"/>
        <v>16</v>
      </c>
    </row>
    <row r="74" spans="2:31" ht="12.75" customHeight="1">
      <c r="B74" s="252" t="str">
        <f t="shared" ref="B74" ca="1" si="21">IF(OR(K74&lt;2,K74=""), "", HYPERLINK("#", K74 &amp; " Countries"))</f>
        <v>11 Countries</v>
      </c>
      <c r="C74" s="34" t="s">
        <v>408</v>
      </c>
      <c r="D74" s="34" t="s">
        <v>415</v>
      </c>
      <c r="E74" s="137" cm="1">
        <f t="array" aca="1" ref="E74" ca="1">OFFSET(INDIRECT($R74),int_Country_Offset,$AD74)</f>
        <v>53.7</v>
      </c>
      <c r="F74" s="132" t="str" cm="1">
        <f t="array" aca="1" ref="F74" ca="1">IFERROR(VLOOKUP((OFFSET(INDIRECT($R74),0,$AD74)),Dict!$A$52:$B$56,2,FALSE),(OFFSET(INDIRECT($R74),0,$AD74)))</f>
        <v>Score</v>
      </c>
      <c r="G74" s="131" cm="1">
        <f t="array" aca="1" ref="G74" ca="1">OFFSET(INDIRECT($R74),int_Country_Offset,$AE74)</f>
        <v>14</v>
      </c>
      <c r="H74" s="539" t="s">
        <v>480</v>
      </c>
      <c r="I74" s="235" t="str">
        <f t="shared" ref="I74" si="22">IF(X74="min","Low value better","High value better")</f>
        <v>High value better</v>
      </c>
      <c r="J74" s="236">
        <f ca="1">IF($X74="max",MAX(OFFSET('Model - OLD'!$C$12,1,$U74+$U$5*$V74,25)),IF($X74="min",MIN(OFFSET('Model - OLD'!$C$12,1,$U74+$U$5*$V74,25)),""))</f>
        <v>3600</v>
      </c>
      <c r="K74" s="253">
        <f ca="1">IF($X74="","",COUNTIF(OFFSET('Model - OLD'!$C$12,1,$U74+$U$5*$V74,25),"&gt;0"))</f>
        <v>11</v>
      </c>
      <c r="R74" s="21" t="s">
        <v>470</v>
      </c>
      <c r="S74" s="21">
        <v>5</v>
      </c>
      <c r="T74" s="21">
        <v>1</v>
      </c>
      <c r="U74" s="21">
        <v>1</v>
      </c>
      <c r="V74" s="21">
        <v>0</v>
      </c>
      <c r="W74" s="21">
        <v>1</v>
      </c>
      <c r="X74" s="21" t="s">
        <v>227</v>
      </c>
      <c r="Y74" s="21">
        <v>1</v>
      </c>
      <c r="Z74" s="21">
        <v>2</v>
      </c>
      <c r="AA74" s="21">
        <v>0</v>
      </c>
      <c r="AB74" s="21">
        <v>2</v>
      </c>
      <c r="AC74" s="21">
        <v>2</v>
      </c>
      <c r="AD74" s="21">
        <f t="shared" si="14"/>
        <v>19</v>
      </c>
      <c r="AE74" s="21">
        <f t="shared" si="20"/>
        <v>20</v>
      </c>
    </row>
    <row r="75" spans="2:31" ht="12.75" customHeight="1">
      <c r="B75" s="252" t="str">
        <f t="shared" ref="B75" ca="1" si="23">IF(OR(K75&lt;2,K75=""), "", HYPERLINK("#", K75 &amp; " Countries"))</f>
        <v>11 Countries</v>
      </c>
      <c r="C75" s="34" t="s">
        <v>408</v>
      </c>
      <c r="D75" s="34" t="s">
        <v>416</v>
      </c>
      <c r="E75" s="137" cm="1">
        <f t="array" aca="1" ref="E75" ca="1">OFFSET(INDIRECT($R75),int_Country_Offset,$AD75)</f>
        <v>38.17</v>
      </c>
      <c r="F75" s="132" t="str" cm="1">
        <f t="array" aca="1" ref="F75" ca="1">IFERROR(VLOOKUP((OFFSET(INDIRECT($R75),0,$AD75)),Dict!$A$52:$B$56,2,FALSE),(OFFSET(INDIRECT($R75),0,$AD75)))</f>
        <v>Score</v>
      </c>
      <c r="G75" s="131" cm="1">
        <f t="array" aca="1" ref="G75" ca="1">OFFSET(INDIRECT($R75),int_Country_Offset,$AE75)</f>
        <v>27</v>
      </c>
      <c r="H75" s="539" t="s">
        <v>479</v>
      </c>
      <c r="I75" s="235" t="str">
        <f t="shared" ref="I75" si="24">IF(X75="min","Low value better","High value better")</f>
        <v>High value better</v>
      </c>
      <c r="J75" s="236">
        <f ca="1">IF($X75="max",MAX(OFFSET('Model - OLD'!$C$12,1,$U75+$U$5*$V75,25)),IF($X75="min",MIN(OFFSET('Model - OLD'!$C$12,1,$U75+$U$5*$V75,25)),""))</f>
        <v>3600</v>
      </c>
      <c r="K75" s="253">
        <f ca="1">IF($X75="","",COUNTIF(OFFSET('Model - OLD'!$C$12,1,$U75+$U$5*$V75,25),"&gt;0"))</f>
        <v>11</v>
      </c>
      <c r="R75" s="21" t="s">
        <v>470</v>
      </c>
      <c r="S75" s="21">
        <v>6</v>
      </c>
      <c r="T75" s="21">
        <v>1</v>
      </c>
      <c r="U75" s="21">
        <v>1</v>
      </c>
      <c r="V75" s="21">
        <v>0</v>
      </c>
      <c r="W75" s="21">
        <v>1</v>
      </c>
      <c r="X75" s="21" t="s">
        <v>227</v>
      </c>
      <c r="Y75" s="21">
        <v>1</v>
      </c>
      <c r="Z75" s="21">
        <v>2</v>
      </c>
      <c r="AA75" s="21">
        <v>0</v>
      </c>
      <c r="AB75" s="21">
        <v>2</v>
      </c>
      <c r="AC75" s="21">
        <v>2</v>
      </c>
      <c r="AD75" s="21">
        <f t="shared" si="14"/>
        <v>23</v>
      </c>
      <c r="AE75" s="21">
        <f t="shared" si="20"/>
        <v>24</v>
      </c>
    </row>
    <row r="76" spans="2:31">
      <c r="B76" s="252" t="str">
        <f t="shared" ca="1" si="18"/>
        <v>7 Countries</v>
      </c>
      <c r="C76" s="34" t="s">
        <v>409</v>
      </c>
      <c r="D76" s="34" t="s">
        <v>418</v>
      </c>
      <c r="E76" s="137" cm="1">
        <f t="array" aca="1" ref="E76" ca="1">OFFSET(INDIRECT($R76),int_Country_Offset,$AD76)</f>
        <v>0.48</v>
      </c>
      <c r="F76" s="132" t="str" cm="1">
        <f t="array" aca="1" ref="F76" ca="1">IFERROR(VLOOKUP((OFFSET(INDIRECT($R76),0,$AD76)),Dict!$A$52:$B$56,2,FALSE),(OFFSET(INDIRECT($R76),0,$AD76)))</f>
        <v>Score</v>
      </c>
      <c r="G76" s="131" cm="1">
        <f t="array" aca="1" ref="G76" ca="1">OFFSET(INDIRECT($R76),int_Country_Offset,$AE76)</f>
        <v>26</v>
      </c>
      <c r="H76" s="539" t="s">
        <v>481</v>
      </c>
      <c r="I76" s="235" t="str">
        <f t="shared" si="19"/>
        <v>High value better</v>
      </c>
      <c r="J76" s="236">
        <f ca="1">IF($X76="max",MAX(OFFSET('Model - OLD'!$C$12,1,$U76+$U$5*$V76,25)),IF($X76="min",MIN(OFFSET('Model - OLD'!$C$12,1,$U76+$U$5*$V76,25)),""))</f>
        <v>116.51300000000001</v>
      </c>
      <c r="K76" s="253">
        <f ca="1">IF($X76="","",COUNTIF(OFFSET('Model - OLD'!$C$12,1,$U76+$U$5*$V76,25),"&gt;0"))</f>
        <v>7</v>
      </c>
      <c r="R76" s="21" t="s">
        <v>470</v>
      </c>
      <c r="S76" s="21">
        <v>8</v>
      </c>
      <c r="T76" s="21">
        <v>1</v>
      </c>
      <c r="U76" s="232">
        <f>U70+V70+(1+W70)</f>
        <v>3</v>
      </c>
      <c r="V76" s="21">
        <v>0</v>
      </c>
      <c r="W76" s="21">
        <v>1</v>
      </c>
      <c r="X76" s="21" t="s">
        <v>227</v>
      </c>
      <c r="Y76" s="21">
        <v>1</v>
      </c>
      <c r="Z76" s="21">
        <v>2</v>
      </c>
      <c r="AA76" s="21">
        <v>0</v>
      </c>
      <c r="AB76" s="21">
        <v>2</v>
      </c>
      <c r="AC76" s="21">
        <v>2</v>
      </c>
      <c r="AD76" s="21">
        <f t="shared" si="14"/>
        <v>31</v>
      </c>
      <c r="AE76" s="21">
        <f t="shared" si="20"/>
        <v>32</v>
      </c>
    </row>
    <row r="77" spans="2:31">
      <c r="B77" s="252" t="str">
        <f t="shared" ca="1" si="18"/>
        <v>8 Countries</v>
      </c>
      <c r="C77" s="34" t="s">
        <v>409</v>
      </c>
      <c r="D77" s="34" t="s">
        <v>419</v>
      </c>
      <c r="E77" s="137" cm="1">
        <f t="array" aca="1" ref="E77" ca="1">OFFSET(INDIRECT($R77),int_Country_Offset,$AD77)</f>
        <v>0.80300000000000005</v>
      </c>
      <c r="F77" s="132" t="str" cm="1">
        <f t="array" aca="1" ref="F77" ca="1">IFERROR(VLOOKUP((OFFSET(INDIRECT($R77),0,$AD77)),Dict!$A$52:$B$56,2,FALSE),(OFFSET(INDIRECT($R77),0,$AD77)))</f>
        <v>Score</v>
      </c>
      <c r="G77" s="131" cm="1">
        <f t="array" aca="1" ref="G77" ca="1">OFFSET(INDIRECT($R77),int_Country_Offset,$AE77)</f>
        <v>10</v>
      </c>
      <c r="H77" s="539" t="s">
        <v>482</v>
      </c>
      <c r="I77" s="235" t="str">
        <f t="shared" si="19"/>
        <v>Low value better</v>
      </c>
      <c r="J77" s="236">
        <f ca="1">IF($X77="max",MAX(OFFSET('Model - OLD'!$C$12,1,$U77+$U$5*$V77,25)),IF($X77="min",MIN(OFFSET('Model - OLD'!$C$12,1,$U77+$U$5*$V77,25)),""))</f>
        <v>0</v>
      </c>
      <c r="K77" s="253">
        <f ca="1">IF($X77="","",COUNTIF(OFFSET('Model - OLD'!$C$12,1,$U77+$U$5*$V77,25),"&gt;0"))</f>
        <v>8</v>
      </c>
      <c r="R77" s="21" t="s">
        <v>470</v>
      </c>
      <c r="S77" s="21">
        <v>9</v>
      </c>
      <c r="T77" s="21">
        <v>1</v>
      </c>
      <c r="U77" s="232">
        <f>U76+V76+(1+W76)</f>
        <v>5</v>
      </c>
      <c r="V77" s="21">
        <v>0</v>
      </c>
      <c r="W77" s="21">
        <v>1</v>
      </c>
      <c r="X77" s="21" t="s">
        <v>228</v>
      </c>
      <c r="Y77" s="21">
        <v>1</v>
      </c>
      <c r="Z77" s="21">
        <v>2</v>
      </c>
      <c r="AA77" s="21">
        <v>0</v>
      </c>
      <c r="AB77" s="21">
        <v>2</v>
      </c>
      <c r="AC77" s="21">
        <v>2</v>
      </c>
      <c r="AD77" s="21">
        <f t="shared" si="14"/>
        <v>35</v>
      </c>
      <c r="AE77" s="21">
        <f t="shared" si="20"/>
        <v>36</v>
      </c>
    </row>
    <row r="78" spans="2:31">
      <c r="B78" s="252" t="str">
        <f t="shared" ca="1" si="18"/>
        <v>9 Countries</v>
      </c>
      <c r="C78" s="34" t="s">
        <v>410</v>
      </c>
      <c r="D78" s="34" t="s">
        <v>420</v>
      </c>
      <c r="E78" s="137" cm="1">
        <f t="array" aca="1" ref="E78" ca="1">OFFSET(INDIRECT($R78),int_Country_Offset,$AD78)</f>
        <v>-0.28000000000000003</v>
      </c>
      <c r="F78" s="132" t="str" cm="1">
        <f t="array" aca="1" ref="F78" ca="1">IFERROR(VLOOKUP((OFFSET(INDIRECT($R78),0,$AD78)),Dict!$A$52:$B$56,2,FALSE),(OFFSET(INDIRECT($R78),0,$AD78)))</f>
        <v>Score</v>
      </c>
      <c r="G78" s="131" cm="1">
        <f t="array" aca="1" ref="G78" ca="1">OFFSET(INDIRECT($R78),int_Country_Offset,$AE78)</f>
        <v>26</v>
      </c>
      <c r="H78" s="539" t="s">
        <v>483</v>
      </c>
      <c r="I78" s="235" t="str">
        <f t="shared" si="19"/>
        <v>High value better</v>
      </c>
      <c r="J78" s="236">
        <f ca="1">IF($X78="max",MAX(OFFSET('Model - OLD'!$C$12,1,$U78+$U$5*$V78,25)),IF($X78="min",MIN(OFFSET('Model - OLD'!$C$12,1,$U78+$U$5*$V78,25)),""))</f>
        <v>201.06549999999999</v>
      </c>
      <c r="K78" s="253">
        <f ca="1">IF($X78="","",COUNTIF(OFFSET('Model - OLD'!$C$12,1,$U78+$U$5*$V78,25),"&gt;0"))</f>
        <v>9</v>
      </c>
      <c r="R78" s="21" t="s">
        <v>470</v>
      </c>
      <c r="S78" s="21">
        <v>11</v>
      </c>
      <c r="T78" s="21">
        <v>1</v>
      </c>
      <c r="U78" s="232">
        <f t="shared" ref="U78:U79" si="25">U77+V77+(1+W77)</f>
        <v>7</v>
      </c>
      <c r="V78" s="21">
        <v>0</v>
      </c>
      <c r="W78" s="21">
        <v>1</v>
      </c>
      <c r="X78" s="21" t="s">
        <v>227</v>
      </c>
      <c r="Y78" s="21">
        <v>1</v>
      </c>
      <c r="Z78" s="21">
        <v>2</v>
      </c>
      <c r="AA78" s="21">
        <v>0</v>
      </c>
      <c r="AB78" s="21">
        <v>2</v>
      </c>
      <c r="AC78" s="21">
        <v>2</v>
      </c>
      <c r="AD78" s="21">
        <f t="shared" si="14"/>
        <v>43</v>
      </c>
      <c r="AE78" s="21">
        <f t="shared" si="20"/>
        <v>44</v>
      </c>
    </row>
    <row r="79" spans="2:31">
      <c r="B79" s="252" t="str">
        <f t="shared" ca="1" si="18"/>
        <v>9 Countries</v>
      </c>
      <c r="C79" s="34" t="s">
        <v>410</v>
      </c>
      <c r="D79" s="34" t="s">
        <v>421</v>
      </c>
      <c r="E79" s="137" cm="1">
        <f t="array" aca="1" ref="E79" ca="1">OFFSET(INDIRECT($R79),int_Country_Offset,$AD79)</f>
        <v>-1.01</v>
      </c>
      <c r="F79" s="132" t="str" cm="1">
        <f t="array" aca="1" ref="F79" ca="1">IFERROR(VLOOKUP((OFFSET(INDIRECT($R79),0,$AD79)),Dict!$A$52:$B$56,2,FALSE),(OFFSET(INDIRECT($R79),0,$AD79)))</f>
        <v>Score</v>
      </c>
      <c r="G79" s="131" cm="1">
        <f t="array" aca="1" ref="G79" ca="1">OFFSET(INDIRECT($R79),int_Country_Offset,$AE79)</f>
        <v>29</v>
      </c>
      <c r="H79" s="539" t="s">
        <v>483</v>
      </c>
      <c r="I79" s="235" t="str">
        <f t="shared" si="19"/>
        <v>High value better</v>
      </c>
      <c r="J79" s="236">
        <f ca="1">IF($X79="max",MAX(OFFSET('Model - OLD'!$C$12,1,$U79+$U$5*$V79,25)),IF($X79="min",MIN(OFFSET('Model - OLD'!$C$12,1,$U79+$U$5*$V79,25)),""))</f>
        <v>160.03300000675006</v>
      </c>
      <c r="K79" s="253">
        <f ca="1">IF($X79="","",COUNTIF(OFFSET('Model - OLD'!$C$12,1,$U79+$U$5*$V79,25),"&gt;0"))</f>
        <v>9</v>
      </c>
      <c r="R79" s="21" t="s">
        <v>470</v>
      </c>
      <c r="S79" s="21">
        <v>12</v>
      </c>
      <c r="T79" s="21">
        <v>1</v>
      </c>
      <c r="U79" s="232">
        <f t="shared" si="25"/>
        <v>9</v>
      </c>
      <c r="V79" s="21">
        <v>0</v>
      </c>
      <c r="W79" s="21">
        <v>1</v>
      </c>
      <c r="X79" s="21" t="s">
        <v>227</v>
      </c>
      <c r="Y79" s="21">
        <v>1</v>
      </c>
      <c r="Z79" s="21">
        <v>2</v>
      </c>
      <c r="AA79" s="21">
        <v>0</v>
      </c>
      <c r="AB79" s="21">
        <v>2</v>
      </c>
      <c r="AC79" s="21">
        <v>2</v>
      </c>
      <c r="AD79" s="21">
        <f t="shared" si="14"/>
        <v>47</v>
      </c>
      <c r="AE79" s="21">
        <f t="shared" si="20"/>
        <v>48</v>
      </c>
    </row>
    <row r="80" spans="2:31">
      <c r="B80" s="254" t="str">
        <f t="shared" ca="1" si="18"/>
        <v>25 Countries</v>
      </c>
      <c r="C80" s="116" t="s">
        <v>215</v>
      </c>
      <c r="D80" s="116"/>
      <c r="E80" s="138" cm="1">
        <f t="array" aca="1" ref="E80" ca="1">OFFSET(INDIRECT($R80),int_Country_Offset,$AD80)</f>
        <v>21.834</v>
      </c>
      <c r="F80" s="139" t="s">
        <v>231</v>
      </c>
      <c r="G80" s="141" cm="1">
        <f t="array" aca="1" ref="G80" ca="1">OFFSET(INDIRECT($R80),int_Country_Offset,$AE80)</f>
        <v>24</v>
      </c>
      <c r="H80" s="140"/>
      <c r="I80" s="237" t="str">
        <f t="shared" si="19"/>
        <v>Low value better</v>
      </c>
      <c r="J80" s="238">
        <f ca="1">IF($X80="max",MAX(OFFSET('Model - OLD'!$C$12,1,$U80+$U$5*$V80,25)),IF($X80="min",MIN(OFFSET('Model - OLD'!$C$12,1,$U80+$U$5*$V80,25)),""))</f>
        <v>1</v>
      </c>
      <c r="K80" s="255">
        <f ca="1">IF($X80="","",COUNTIF(OFFSET('Model - OLD'!$C$12,1,$U80+$U$5*$V80,25),"&gt;0"))</f>
        <v>25</v>
      </c>
      <c r="R80" s="21" t="s">
        <v>470</v>
      </c>
      <c r="S80" s="21">
        <v>14</v>
      </c>
      <c r="T80" s="21">
        <v>1</v>
      </c>
      <c r="U80" s="232">
        <f t="shared" ref="U80" si="26">U79+V79+(1+W79)</f>
        <v>11</v>
      </c>
      <c r="V80" s="21">
        <v>1</v>
      </c>
      <c r="W80" s="21">
        <v>1</v>
      </c>
      <c r="X80" s="21" t="s">
        <v>228</v>
      </c>
      <c r="Y80" s="21">
        <v>1</v>
      </c>
      <c r="Z80" s="21">
        <v>2</v>
      </c>
      <c r="AA80" s="21">
        <v>0</v>
      </c>
      <c r="AB80" s="21">
        <v>2</v>
      </c>
      <c r="AC80" s="21">
        <v>2</v>
      </c>
      <c r="AD80" s="21">
        <f t="shared" si="14"/>
        <v>55</v>
      </c>
      <c r="AE80" s="21">
        <f t="shared" si="20"/>
        <v>56</v>
      </c>
    </row>
    <row r="81" spans="2:31" collapsed="1">
      <c r="B81" s="135" t="s">
        <v>204</v>
      </c>
      <c r="C81" s="135"/>
      <c r="D81" s="135"/>
      <c r="E81" s="134"/>
      <c r="F81" s="134"/>
      <c r="G81" s="146"/>
      <c r="H81" s="134"/>
      <c r="I81" s="134"/>
      <c r="J81" s="134"/>
      <c r="K81" s="134"/>
    </row>
    <row r="82" spans="2:31">
      <c r="B82" s="252" t="str">
        <f t="shared" ref="B82:B91" ca="1" si="27">IF(OR(K82&lt;2,K82=""), "", HYPERLINK("#", K82 &amp; " Countries"))</f>
        <v>11 Countries</v>
      </c>
      <c r="C82" s="90" t="s">
        <v>424</v>
      </c>
      <c r="D82" s="90" t="s">
        <v>425</v>
      </c>
      <c r="E82" s="136" cm="1">
        <f t="array" aca="1" ref="E82" ca="1">OFFSET(INDIRECT($R82),int_Country_Offset,$AD82)</f>
        <v>60.16</v>
      </c>
      <c r="F82" s="132" t="str" cm="1">
        <f t="array" aca="1" ref="F82" ca="1">IFERROR(VLOOKUP((OFFSET(INDIRECT($R82),0,$AD82)),Dict!$A$52:$B$56,2,FALSE),(OFFSET(INDIRECT($R82),0,$AD82)))</f>
        <v>Score</v>
      </c>
      <c r="G82" s="131" cm="1">
        <f t="array" aca="1" ref="G82" ca="1">OFFSET(INDIRECT($R82),int_Country_Offset,$AE82)</f>
        <v>9</v>
      </c>
      <c r="H82" s="539" t="s">
        <v>486</v>
      </c>
      <c r="I82" s="235" t="str">
        <f t="shared" ref="I82:I91" si="28">IF(X82="min","Low value better","High value better")</f>
        <v>Low value better</v>
      </c>
      <c r="J82" s="236">
        <f ca="1">IF($X82="max",MAX(OFFSET('Model - OLD'!$C$12,1,$U82+$U$5*$V82,25)),IF($X82="min",MIN(OFFSET('Model - OLD'!$C$12,1,$U82+$U$5*$V82,25)),""))</f>
        <v>0</v>
      </c>
      <c r="K82" s="253">
        <f ca="1">IF($X82="","",COUNTIF(OFFSET('Model - OLD'!$C$12,1,$U82+$U$5*$V82,25),"&gt;0"))</f>
        <v>11</v>
      </c>
      <c r="R82" s="259" t="s">
        <v>471</v>
      </c>
      <c r="S82" s="21">
        <v>1</v>
      </c>
      <c r="T82" s="21">
        <v>1</v>
      </c>
      <c r="U82" s="232">
        <f t="shared" ref="U82" si="29">U81+V81+(1+W81)</f>
        <v>1</v>
      </c>
      <c r="V82" s="21">
        <v>0</v>
      </c>
      <c r="W82" s="21">
        <v>1</v>
      </c>
      <c r="X82" s="21" t="s">
        <v>228</v>
      </c>
      <c r="Y82" s="21">
        <v>1</v>
      </c>
      <c r="Z82" s="21">
        <v>2</v>
      </c>
      <c r="AA82" s="21">
        <v>0</v>
      </c>
      <c r="AB82" s="21">
        <v>2</v>
      </c>
      <c r="AC82" s="21">
        <v>2</v>
      </c>
      <c r="AD82" s="21">
        <f t="shared" si="14"/>
        <v>3</v>
      </c>
      <c r="AE82" s="21">
        <f t="shared" si="20"/>
        <v>4</v>
      </c>
    </row>
    <row r="83" spans="2:31">
      <c r="B83" s="252" t="str">
        <f t="shared" ca="1" si="27"/>
        <v>7 Countries</v>
      </c>
      <c r="C83" s="90" t="s">
        <v>424</v>
      </c>
      <c r="D83" s="90" t="s">
        <v>426</v>
      </c>
      <c r="E83" s="136" cm="1">
        <f t="array" aca="1" ref="E83" ca="1">OFFSET(INDIRECT($R83),int_Country_Offset,$AD83)</f>
        <v>4</v>
      </c>
      <c r="F83" s="132" t="str" cm="1">
        <f t="array" aca="1" ref="F83" ca="1">IFERROR(VLOOKUP((OFFSET(INDIRECT($R83),0,$AD83)),Dict!$A$52:$B$56,2,FALSE),(OFFSET(INDIRECT($R83),0,$AD83)))</f>
        <v>Score</v>
      </c>
      <c r="G83" s="131" cm="1">
        <f t="array" aca="1" ref="G83" ca="1">OFFSET(INDIRECT($R83),int_Country_Offset,$AE83)</f>
        <v>25</v>
      </c>
      <c r="H83" s="256" t="s">
        <v>67</v>
      </c>
      <c r="I83" s="235" t="str">
        <f t="shared" si="28"/>
        <v>Low value better</v>
      </c>
      <c r="J83" s="236">
        <f ca="1">IF($X83="max",MAX(OFFSET('Model - OLD'!$C$12,1,$U83+$U$5*$V83,25)),IF($X83="min",MIN(OFFSET('Model - OLD'!$C$12,1,$U83+$U$5*$V83,25)),""))</f>
        <v>0</v>
      </c>
      <c r="K83" s="253">
        <f ca="1">IF($X83="","",COUNTIF(OFFSET('Model - OLD'!$C$12,1,$U83+$U$5*$V83,25),"&gt;0"))</f>
        <v>7</v>
      </c>
      <c r="R83" s="259" t="s">
        <v>471</v>
      </c>
      <c r="S83" s="21">
        <v>2</v>
      </c>
      <c r="T83" s="21">
        <v>1</v>
      </c>
      <c r="U83" s="232">
        <f t="shared" ref="U83:U91" si="30">U82+V82+(1+W82)</f>
        <v>3</v>
      </c>
      <c r="V83" s="21">
        <v>0</v>
      </c>
      <c r="W83" s="21">
        <v>1</v>
      </c>
      <c r="X83" s="21" t="s">
        <v>228</v>
      </c>
      <c r="Y83" s="21">
        <v>1</v>
      </c>
      <c r="Z83" s="21">
        <v>2</v>
      </c>
      <c r="AA83" s="21">
        <v>0</v>
      </c>
      <c r="AB83" s="21">
        <v>2</v>
      </c>
      <c r="AC83" s="21">
        <v>2</v>
      </c>
      <c r="AD83" s="21">
        <f t="shared" si="14"/>
        <v>7</v>
      </c>
      <c r="AE83" s="21">
        <f t="shared" si="20"/>
        <v>8</v>
      </c>
    </row>
    <row r="84" spans="2:31">
      <c r="B84" s="252" t="str">
        <f t="shared" ca="1" si="27"/>
        <v>8 Countries</v>
      </c>
      <c r="C84" s="90" t="s">
        <v>424</v>
      </c>
      <c r="D84" s="90" t="s">
        <v>484</v>
      </c>
      <c r="E84" s="136" cm="1">
        <f t="array" aca="1" ref="E84" ca="1">OFFSET(INDIRECT($R84),int_Country_Offset,$AD84)</f>
        <v>76.8</v>
      </c>
      <c r="F84" s="132" t="str" cm="1">
        <f t="array" aca="1" ref="F84" ca="1">IFERROR(VLOOKUP((OFFSET(INDIRECT($R84),0,$AD84)),Dict!$A$52:$B$56,2,FALSE),(OFFSET(INDIRECT($R84),0,$AD84)))</f>
        <v>Score</v>
      </c>
      <c r="G84" s="131" cm="1">
        <f t="array" aca="1" ref="G84" ca="1">OFFSET(INDIRECT($R84),int_Country_Offset,$AE84)</f>
        <v>16</v>
      </c>
      <c r="H84" s="539" t="s">
        <v>487</v>
      </c>
      <c r="I84" s="235" t="str">
        <f t="shared" si="28"/>
        <v>Low value better</v>
      </c>
      <c r="J84" s="236">
        <f ca="1">IF($X84="max",MAX(OFFSET('Model - OLD'!$C$12,1,$U84+$U$5*$V84,25)),IF($X84="min",MIN(OFFSET('Model - OLD'!$C$12,1,$U84+$U$5*$V84,25)),""))</f>
        <v>0</v>
      </c>
      <c r="K84" s="253">
        <f ca="1">IF($X84="","",COUNTIF(OFFSET('Model - OLD'!$C$12,1,$U84+$U$5*$V84,25),"&gt;0"))</f>
        <v>8</v>
      </c>
      <c r="R84" s="259" t="s">
        <v>471</v>
      </c>
      <c r="S84" s="21">
        <v>3</v>
      </c>
      <c r="T84" s="21">
        <v>1</v>
      </c>
      <c r="U84" s="232">
        <f t="shared" si="30"/>
        <v>5</v>
      </c>
      <c r="V84" s="21">
        <v>0</v>
      </c>
      <c r="W84" s="21">
        <v>1</v>
      </c>
      <c r="X84" s="21" t="s">
        <v>228</v>
      </c>
      <c r="Y84" s="21">
        <v>1</v>
      </c>
      <c r="Z84" s="21">
        <v>2</v>
      </c>
      <c r="AA84" s="21">
        <v>0</v>
      </c>
      <c r="AB84" s="21">
        <v>2</v>
      </c>
      <c r="AC84" s="21">
        <v>2</v>
      </c>
      <c r="AD84" s="21">
        <f t="shared" si="14"/>
        <v>11</v>
      </c>
      <c r="AE84" s="21">
        <f t="shared" si="20"/>
        <v>12</v>
      </c>
    </row>
    <row r="85" spans="2:31">
      <c r="B85" s="252" t="str">
        <f t="shared" ca="1" si="27"/>
        <v>9 Countries</v>
      </c>
      <c r="C85" s="90" t="s">
        <v>424</v>
      </c>
      <c r="D85" s="90" t="s">
        <v>485</v>
      </c>
      <c r="E85" s="136" cm="1">
        <f t="array" aca="1" ref="E85" ca="1">OFFSET(INDIRECT($R85),int_Country_Offset,$AD85)</f>
        <v>2.5</v>
      </c>
      <c r="F85" s="132" t="str" cm="1">
        <f t="array" aca="1" ref="F85" ca="1">IFERROR(VLOOKUP((OFFSET(INDIRECT($R85),0,$AD85)),Dict!$A$52:$B$56,2,FALSE),(OFFSET(INDIRECT($R85),0,$AD85)))</f>
        <v>Percentage of gross domestic product</v>
      </c>
      <c r="G85" s="131" cm="1">
        <f t="array" aca="1" ref="G85" ca="1">OFFSET(INDIRECT($R85),int_Country_Offset,$AE85)</f>
        <v>12</v>
      </c>
      <c r="H85" s="539" t="s">
        <v>488</v>
      </c>
      <c r="I85" s="235" t="str">
        <f t="shared" si="28"/>
        <v>Low value better</v>
      </c>
      <c r="J85" s="236">
        <f ca="1">IF($X85="max",MAX(OFFSET('Model - OLD'!$C$12,1,$U85+$U$5*$V85,25)),IF($X85="min",MIN(OFFSET('Model - OLD'!$C$12,1,$U85+$U$5*$V85,25)),""))</f>
        <v>0</v>
      </c>
      <c r="K85" s="253">
        <f ca="1">IF($X85="","",COUNTIF(OFFSET('Model - OLD'!$C$12,1,$U85+$U$5*$V85,25),"&gt;0"))</f>
        <v>9</v>
      </c>
      <c r="R85" s="259" t="s">
        <v>471</v>
      </c>
      <c r="S85" s="21">
        <v>4</v>
      </c>
      <c r="T85" s="21">
        <v>1</v>
      </c>
      <c r="U85" s="232">
        <f t="shared" si="30"/>
        <v>7</v>
      </c>
      <c r="V85" s="21">
        <v>0</v>
      </c>
      <c r="W85" s="21">
        <v>1</v>
      </c>
      <c r="X85" s="21" t="s">
        <v>228</v>
      </c>
      <c r="Y85" s="21">
        <v>1</v>
      </c>
      <c r="Z85" s="21">
        <v>2</v>
      </c>
      <c r="AA85" s="21">
        <v>0</v>
      </c>
      <c r="AB85" s="21">
        <v>2</v>
      </c>
      <c r="AC85" s="21">
        <v>2</v>
      </c>
      <c r="AD85" s="21">
        <f t="shared" si="14"/>
        <v>15</v>
      </c>
      <c r="AE85" s="21">
        <f t="shared" si="20"/>
        <v>16</v>
      </c>
    </row>
    <row r="86" spans="2:31">
      <c r="B86" s="252" t="str">
        <f t="shared" ca="1" si="27"/>
        <v>9 Countries</v>
      </c>
      <c r="C86" s="90" t="s">
        <v>121</v>
      </c>
      <c r="D86" s="90" t="s">
        <v>429</v>
      </c>
      <c r="E86" s="136" cm="1">
        <f t="array" aca="1" ref="E86" ca="1">OFFSET(INDIRECT($R86),int_Country_Offset,$AD86)</f>
        <v>156.06</v>
      </c>
      <c r="F86" s="132" t="str" cm="1">
        <f t="array" aca="1" ref="F86" ca="1">IFERROR(VLOOKUP((OFFSET(INDIRECT($R86),0,$AD86)),Dict!$A$52:$B$56,2,FALSE),(OFFSET(INDIRECT($R86),0,$AD86)))</f>
        <v>$ per megawatt-hour</v>
      </c>
      <c r="G86" s="131" cm="1">
        <f t="array" aca="1" ref="G86" ca="1">OFFSET(INDIRECT($R86),int_Country_Offset,$AE86)</f>
        <v>16</v>
      </c>
      <c r="H86" s="256" t="s">
        <v>67</v>
      </c>
      <c r="I86" s="235" t="str">
        <f t="shared" si="28"/>
        <v>Low value better</v>
      </c>
      <c r="J86" s="236">
        <f ca="1">IF($X86="max",MAX(OFFSET('Model - OLD'!$C$12,1,$U86+$U$5*$V86,25)),IF($X86="min",MIN(OFFSET('Model - OLD'!$C$12,1,$U86+$U$5*$V86,25)),""))</f>
        <v>0</v>
      </c>
      <c r="K86" s="253">
        <f ca="1">IF($X86="","",COUNTIF(OFFSET('Model - OLD'!$C$12,1,$U86+$U$5*$V86,25),"&gt;0"))</f>
        <v>9</v>
      </c>
      <c r="R86" s="259" t="s">
        <v>471</v>
      </c>
      <c r="S86" s="21">
        <v>6</v>
      </c>
      <c r="T86" s="21">
        <v>1</v>
      </c>
      <c r="U86" s="232">
        <f t="shared" si="30"/>
        <v>9</v>
      </c>
      <c r="V86" s="21">
        <v>0</v>
      </c>
      <c r="W86" s="21">
        <v>1</v>
      </c>
      <c r="X86" s="21" t="s">
        <v>228</v>
      </c>
      <c r="Y86" s="21">
        <v>1</v>
      </c>
      <c r="Z86" s="21">
        <v>2</v>
      </c>
      <c r="AA86" s="21">
        <v>0</v>
      </c>
      <c r="AB86" s="21">
        <v>2</v>
      </c>
      <c r="AC86" s="21">
        <v>2</v>
      </c>
      <c r="AD86" s="21">
        <f t="shared" si="14"/>
        <v>23</v>
      </c>
      <c r="AE86" s="21">
        <f t="shared" si="20"/>
        <v>24</v>
      </c>
    </row>
    <row r="87" spans="2:31" ht="17.25" customHeight="1">
      <c r="B87" s="252" t="str">
        <f t="shared" ca="1" si="27"/>
        <v>6 Countries</v>
      </c>
      <c r="C87" s="90" t="s">
        <v>121</v>
      </c>
      <c r="D87" s="113" t="s">
        <v>121</v>
      </c>
      <c r="E87" s="136" cm="1">
        <f t="array" aca="1" ref="E87" ca="1">OFFSET(INDIRECT($R87),int_Country_Offset,$AD87)</f>
        <v>40.4</v>
      </c>
      <c r="F87" s="132" t="str" cm="1">
        <f t="array" aca="1" ref="F87" ca="1">IFERROR(VLOOKUP((OFFSET(INDIRECT($R87),0,$AD87)),Dict!$A$52:$B$56,2,FALSE),(OFFSET(INDIRECT($R87),0,$AD87)))</f>
        <v>Score</v>
      </c>
      <c r="G87" s="131" cm="1">
        <f t="array" aca="1" ref="G87" ca="1">OFFSET(INDIRECT($R87),int_Country_Offset,$AE87)</f>
        <v>21</v>
      </c>
      <c r="H87" s="539" t="s">
        <v>489</v>
      </c>
      <c r="I87" s="235" t="str">
        <f t="shared" si="28"/>
        <v>Low value better</v>
      </c>
      <c r="J87" s="236">
        <f ca="1">IF($X87="max",MAX(OFFSET('Model - OLD'!$C$12,1,$U87+$U$5*$V87,25)),IF($X87="min",MIN(OFFSET('Model - OLD'!$C$12,1,$U87+$U$5*$V87,25)),""))</f>
        <v>0</v>
      </c>
      <c r="K87" s="253">
        <f ca="1">IF($X87="","",COUNTIF(OFFSET('Model - OLD'!$C$12,1,$U87+$U$5*$V87,25),"&gt;0"))</f>
        <v>6</v>
      </c>
      <c r="R87" s="259" t="s">
        <v>471</v>
      </c>
      <c r="S87" s="21">
        <v>7</v>
      </c>
      <c r="T87" s="21">
        <v>1</v>
      </c>
      <c r="U87" s="232">
        <f t="shared" si="30"/>
        <v>11</v>
      </c>
      <c r="V87" s="21">
        <v>0</v>
      </c>
      <c r="W87" s="21">
        <v>1</v>
      </c>
      <c r="X87" s="21" t="s">
        <v>228</v>
      </c>
      <c r="Y87" s="21">
        <v>1</v>
      </c>
      <c r="Z87" s="21">
        <v>2</v>
      </c>
      <c r="AA87" s="21">
        <v>0</v>
      </c>
      <c r="AB87" s="21">
        <v>2</v>
      </c>
      <c r="AC87" s="21">
        <v>2</v>
      </c>
      <c r="AD87" s="21">
        <f t="shared" si="14"/>
        <v>27</v>
      </c>
      <c r="AE87" s="21">
        <f t="shared" si="20"/>
        <v>28</v>
      </c>
    </row>
    <row r="88" spans="2:31">
      <c r="B88" s="252" t="str">
        <f t="shared" ca="1" si="27"/>
        <v>5 Countries</v>
      </c>
      <c r="C88" s="90" t="s">
        <v>117</v>
      </c>
      <c r="D88" s="90" t="s">
        <v>430</v>
      </c>
      <c r="E88" s="136" cm="1">
        <f t="array" aca="1" ref="E88" ca="1">OFFSET(INDIRECT($R88),int_Country_Offset,$AD88)</f>
        <v>26.1</v>
      </c>
      <c r="F88" s="132" t="str" cm="1">
        <f t="array" aca="1" ref="F88" ca="1">IFERROR(VLOOKUP((OFFSET(INDIRECT($R88),0,$AD88)),Dict!$A$52:$B$56,2,FALSE),(OFFSET(INDIRECT($R88),0,$AD88)))</f>
        <v>Score</v>
      </c>
      <c r="G88" s="131" cm="1">
        <f t="array" aca="1" ref="G88" ca="1">OFFSET(INDIRECT($R88),int_Country_Offset,$AE88)</f>
        <v>18</v>
      </c>
      <c r="H88" s="539" t="s">
        <v>489</v>
      </c>
      <c r="I88" s="235" t="str">
        <f t="shared" si="28"/>
        <v>Low value better</v>
      </c>
      <c r="J88" s="236">
        <f ca="1">IF($X88="max",MAX(OFFSET('Model - OLD'!$C$12,1,$U88+$U$5*$V88,25)),IF($X88="min",MIN(OFFSET('Model - OLD'!$C$12,1,$U88+$U$5*$V88,25)),""))</f>
        <v>0</v>
      </c>
      <c r="K88" s="253">
        <f ca="1">IF($X88="","",COUNTIF(OFFSET('Model - OLD'!$C$12,1,$U88+$U$5*$V88,25),"&gt;0"))</f>
        <v>5</v>
      </c>
      <c r="R88" s="259" t="s">
        <v>471</v>
      </c>
      <c r="S88" s="21">
        <v>9</v>
      </c>
      <c r="T88" s="21">
        <v>1</v>
      </c>
      <c r="U88" s="232">
        <f t="shared" si="30"/>
        <v>13</v>
      </c>
      <c r="V88" s="21">
        <v>0</v>
      </c>
      <c r="W88" s="21">
        <v>1</v>
      </c>
      <c r="X88" s="21" t="s">
        <v>228</v>
      </c>
      <c r="Y88" s="21">
        <v>1</v>
      </c>
      <c r="Z88" s="21">
        <v>2</v>
      </c>
      <c r="AA88" s="21">
        <v>0</v>
      </c>
      <c r="AB88" s="21">
        <v>2</v>
      </c>
      <c r="AC88" s="21">
        <v>2</v>
      </c>
      <c r="AD88" s="21">
        <f t="shared" si="14"/>
        <v>35</v>
      </c>
      <c r="AE88" s="21">
        <f t="shared" si="20"/>
        <v>36</v>
      </c>
    </row>
    <row r="89" spans="2:31">
      <c r="B89" s="252" t="str">
        <f t="shared" ca="1" si="27"/>
        <v>5 Countries</v>
      </c>
      <c r="C89" s="90" t="s">
        <v>117</v>
      </c>
      <c r="D89" s="90" t="s">
        <v>431</v>
      </c>
      <c r="E89" s="136" cm="1">
        <f t="array" aca="1" ref="E89" ca="1">OFFSET(INDIRECT($R89),int_Country_Offset,$AD89)</f>
        <v>11.2</v>
      </c>
      <c r="F89" s="132" t="str" cm="1">
        <f t="array" aca="1" ref="F89" ca="1">IFERROR(VLOOKUP((OFFSET(INDIRECT($R89),0,$AD89)),Dict!$A$52:$B$56,2,FALSE),(OFFSET(INDIRECT($R89),0,$AD89)))</f>
        <v>Score</v>
      </c>
      <c r="G89" s="131" cm="1">
        <f t="array" aca="1" ref="G89" ca="1">OFFSET(INDIRECT($R89),int_Country_Offset,$AE89)</f>
        <v>27</v>
      </c>
      <c r="H89" s="539" t="s">
        <v>489</v>
      </c>
      <c r="I89" s="235" t="str">
        <f t="shared" si="28"/>
        <v>Low value better</v>
      </c>
      <c r="J89" s="236">
        <f ca="1">IF($X89="max",MAX(OFFSET('Model - OLD'!$C$12,1,$U89+$U$5*$V89,25)),IF($X89="min",MIN(OFFSET('Model - OLD'!$C$12,1,$U89+$U$5*$V89,25)),""))</f>
        <v>0</v>
      </c>
      <c r="K89" s="253">
        <f ca="1">IF($X89="","",COUNTIF(OFFSET('Model - OLD'!$C$12,1,$U89+$U$5*$V89,25),"&gt;0"))</f>
        <v>5</v>
      </c>
      <c r="R89" s="259" t="s">
        <v>471</v>
      </c>
      <c r="S89" s="21">
        <v>10</v>
      </c>
      <c r="T89" s="21">
        <v>1</v>
      </c>
      <c r="U89" s="232">
        <f t="shared" si="30"/>
        <v>15</v>
      </c>
      <c r="V89" s="21">
        <v>0</v>
      </c>
      <c r="W89" s="21">
        <v>1</v>
      </c>
      <c r="X89" s="21" t="s">
        <v>228</v>
      </c>
      <c r="Y89" s="21">
        <v>1</v>
      </c>
      <c r="Z89" s="21">
        <v>2</v>
      </c>
      <c r="AA89" s="21">
        <v>0</v>
      </c>
      <c r="AB89" s="21">
        <v>2</v>
      </c>
      <c r="AC89" s="21">
        <v>2</v>
      </c>
      <c r="AD89" s="21">
        <f t="shared" si="14"/>
        <v>39</v>
      </c>
      <c r="AE89" s="21">
        <f t="shared" si="20"/>
        <v>40</v>
      </c>
    </row>
    <row r="90" spans="2:31">
      <c r="B90" s="252" t="str">
        <f t="shared" ca="1" si="27"/>
        <v>7 Countries</v>
      </c>
      <c r="C90" s="90" t="s">
        <v>117</v>
      </c>
      <c r="D90" s="90" t="s">
        <v>432</v>
      </c>
      <c r="E90" s="136" cm="1">
        <f t="array" aca="1" ref="E90" ca="1">OFFSET(INDIRECT($R90),int_Country_Offset,$AD90)</f>
        <v>25.8</v>
      </c>
      <c r="F90" s="132" t="str" cm="1">
        <f t="array" aca="1" ref="F90" ca="1">IFERROR(VLOOKUP((OFFSET(INDIRECT($R90),0,$AD90)),Dict!$A$52:$B$56,2,FALSE),(OFFSET(INDIRECT($R90),0,$AD90)))</f>
        <v>Percentage</v>
      </c>
      <c r="G90" s="131" cm="1">
        <f t="array" aca="1" ref="G90" ca="1">OFFSET(INDIRECT($R90),int_Country_Offset,$AE90)</f>
        <v>12</v>
      </c>
      <c r="H90" s="539" t="s">
        <v>489</v>
      </c>
      <c r="I90" s="235" t="str">
        <f t="shared" si="28"/>
        <v>Low value better</v>
      </c>
      <c r="J90" s="236">
        <f ca="1">IF($X90="max",MAX(OFFSET('Model - OLD'!$C$12,1,$U90+$U$5*$V90,25)),IF($X90="min",MIN(OFFSET('Model - OLD'!$C$12,1,$U90+$U$5*$V90,25)),""))</f>
        <v>0</v>
      </c>
      <c r="K90" s="253">
        <f ca="1">IF($X90="","",COUNTIF(OFFSET('Model - OLD'!$C$12,1,$U90+$U$5*$V90,25),"&gt;0"))</f>
        <v>7</v>
      </c>
      <c r="R90" s="259" t="s">
        <v>471</v>
      </c>
      <c r="S90" s="21">
        <v>11</v>
      </c>
      <c r="T90" s="21">
        <v>1</v>
      </c>
      <c r="U90" s="232">
        <f t="shared" si="30"/>
        <v>17</v>
      </c>
      <c r="V90" s="21">
        <v>0</v>
      </c>
      <c r="W90" s="21">
        <v>1</v>
      </c>
      <c r="X90" s="21" t="s">
        <v>228</v>
      </c>
      <c r="Y90" s="21">
        <v>1</v>
      </c>
      <c r="Z90" s="21">
        <v>2</v>
      </c>
      <c r="AA90" s="21">
        <v>0</v>
      </c>
      <c r="AB90" s="21">
        <v>2</v>
      </c>
      <c r="AC90" s="21">
        <v>2</v>
      </c>
      <c r="AD90" s="21">
        <f t="shared" si="14"/>
        <v>43</v>
      </c>
      <c r="AE90" s="21">
        <f t="shared" si="20"/>
        <v>44</v>
      </c>
    </row>
    <row r="91" spans="2:31">
      <c r="B91" s="254" t="str">
        <f t="shared" ca="1" si="27"/>
        <v>25 Countries</v>
      </c>
      <c r="C91" s="116" t="s">
        <v>171</v>
      </c>
      <c r="D91" s="116"/>
      <c r="E91" s="142" cm="1">
        <f t="array" aca="1" ref="E91" ca="1">OFFSET(INDIRECT($R91),int_Country_Offset,$AD91)</f>
        <v>17.667000000000002</v>
      </c>
      <c r="F91" s="139" t="str" cm="1">
        <f t="array" aca="1" ref="F91" ca="1">(OFFSET(INDIRECT($R91),0,$AD91))</f>
        <v>Score</v>
      </c>
      <c r="G91" s="141" cm="1">
        <f t="array" aca="1" ref="G91" ca="1">OFFSET(INDIRECT($R91),int_Country_Offset,$AE91)</f>
        <v>23</v>
      </c>
      <c r="H91" s="140"/>
      <c r="I91" s="237" t="str">
        <f t="shared" si="28"/>
        <v>Low value better</v>
      </c>
      <c r="J91" s="238">
        <f ca="1">IF($X91="max",MAX(OFFSET('Model - OLD'!$C$12,1,$U91+$U$5*$V91,25)),IF($X91="min",MIN(OFFSET('Model - OLD'!$C$12,1,$U91+$U$5*$V91,25)),""))</f>
        <v>1</v>
      </c>
      <c r="K91" s="255">
        <f ca="1">IF($X91="","",COUNTIF(OFFSET('Model - OLD'!$C$12,1,$U91+$U$5*$V91,25),"&gt;0"))</f>
        <v>25</v>
      </c>
      <c r="R91" s="259" t="s">
        <v>471</v>
      </c>
      <c r="S91" s="21">
        <v>13</v>
      </c>
      <c r="T91" s="21">
        <v>1</v>
      </c>
      <c r="U91" s="232">
        <f t="shared" si="30"/>
        <v>19</v>
      </c>
      <c r="V91" s="21">
        <v>1</v>
      </c>
      <c r="W91" s="21">
        <v>1</v>
      </c>
      <c r="X91" s="21" t="s">
        <v>228</v>
      </c>
      <c r="Y91" s="21">
        <v>1</v>
      </c>
      <c r="Z91" s="21">
        <v>2</v>
      </c>
      <c r="AA91" s="21">
        <v>0</v>
      </c>
      <c r="AB91" s="21">
        <v>2</v>
      </c>
      <c r="AC91" s="21">
        <v>2</v>
      </c>
      <c r="AD91" s="21">
        <f t="shared" si="14"/>
        <v>51</v>
      </c>
      <c r="AE91" s="21">
        <f t="shared" si="20"/>
        <v>52</v>
      </c>
    </row>
    <row r="92" spans="2:31" collapsed="1">
      <c r="B92" s="135" t="s">
        <v>205</v>
      </c>
      <c r="C92" s="135"/>
      <c r="D92" s="135"/>
      <c r="E92" s="134"/>
      <c r="F92" s="134"/>
      <c r="G92" s="146"/>
      <c r="H92" s="134"/>
      <c r="I92" s="134"/>
      <c r="J92" s="134"/>
      <c r="K92" s="134"/>
    </row>
    <row r="93" spans="2:31">
      <c r="B93" s="252" t="str">
        <f t="shared" ref="B93:B100" ca="1" si="31">IF(OR(K93&lt;2,K93=""), "", HYPERLINK("#", K93 &amp; " Countries"))</f>
        <v>11 Countries</v>
      </c>
      <c r="C93" s="90" t="s">
        <v>49</v>
      </c>
      <c r="D93" s="90"/>
      <c r="E93" s="137" cm="1">
        <f t="array" aca="1" ref="E93" ca="1">OFFSET(INDIRECT($R93),int_Country_Offset,$AD93)</f>
        <v>0.6</v>
      </c>
      <c r="F93" s="132" t="str" cm="1">
        <f t="array" aca="1" ref="F93" ca="1">IFERROR(VLOOKUP((OFFSET(INDIRECT($R93),0,$AD93)),Dict!$A$52:$B$56,2,FALSE),(OFFSET(INDIRECT($R93),0,$AD93)))</f>
        <v>Gigawatt-hours</v>
      </c>
      <c r="G93" s="131" cm="1">
        <f t="array" aca="1" ref="G93" ca="1">OFFSET(INDIRECT($R93),int_Country_Offset,$AE93)</f>
        <v>18</v>
      </c>
      <c r="H93" s="256" t="s">
        <v>67</v>
      </c>
      <c r="I93" s="235" t="str">
        <f t="shared" ref="I93:I100" si="32">IF(X93="min","Low value better","High value better")</f>
        <v>High value better</v>
      </c>
      <c r="J93" s="236">
        <f ca="1">IF($X93="max",MAX(OFFSET('Model - OLD'!$C$12,1,$U93+$U$5*$V93,25)),IF($X93="min",MIN(OFFSET('Model - OLD'!$C$12,1,$U93+$U$5*$V93,25)),""))</f>
        <v>3600</v>
      </c>
      <c r="K93" s="253">
        <f ca="1">IF($X93="","",COUNTIF(OFFSET('Model - OLD'!$C$12,1,$U93+$U$5*$V93,25),"&gt;0"))</f>
        <v>11</v>
      </c>
      <c r="R93" s="21" t="s">
        <v>472</v>
      </c>
      <c r="S93" s="21">
        <v>1</v>
      </c>
      <c r="T93" s="21">
        <v>1</v>
      </c>
      <c r="U93" s="21">
        <v>1</v>
      </c>
      <c r="V93" s="21">
        <v>0</v>
      </c>
      <c r="W93" s="21">
        <v>1</v>
      </c>
      <c r="X93" s="21" t="s">
        <v>227</v>
      </c>
      <c r="Y93" s="21">
        <v>1</v>
      </c>
      <c r="Z93" s="21">
        <v>2</v>
      </c>
      <c r="AA93" s="21">
        <v>0</v>
      </c>
      <c r="AB93" s="21">
        <v>0</v>
      </c>
      <c r="AC93" s="21">
        <v>2</v>
      </c>
      <c r="AD93" s="21">
        <f t="shared" si="14"/>
        <v>3</v>
      </c>
      <c r="AE93" s="21">
        <f t="shared" ref="AE93:AE100" si="33">AD93+1</f>
        <v>4</v>
      </c>
    </row>
    <row r="94" spans="2:31">
      <c r="B94" s="252" t="str">
        <f t="shared" ca="1" si="31"/>
        <v>11 Countries</v>
      </c>
      <c r="C94" s="90" t="s">
        <v>51</v>
      </c>
      <c r="D94" s="90"/>
      <c r="E94" s="137" cm="1">
        <f t="array" aca="1" ref="E94" ca="1">OFFSET(INDIRECT($R94),int_Country_Offset,$AD94)</f>
        <v>0</v>
      </c>
      <c r="F94" s="132" t="str" cm="1">
        <f t="array" aca="1" ref="F94" ca="1">IFERROR(VLOOKUP((OFFSET(INDIRECT($R94),0,$AD94)),Dict!$A$52:$B$56,2,FALSE),(OFFSET(INDIRECT($R94),0,$AD94)))</f>
        <v>Gigawatt-hours</v>
      </c>
      <c r="G94" s="131" cm="1">
        <f t="array" aca="1" ref="G94" ca="1">OFFSET(INDIRECT($R94),int_Country_Offset,$AE94)</f>
        <v>17</v>
      </c>
      <c r="H94" s="256" t="s">
        <v>67</v>
      </c>
      <c r="I94" s="235" t="str">
        <f t="shared" si="32"/>
        <v>High value better</v>
      </c>
      <c r="J94" s="236">
        <f ca="1">IF($X94="max",MAX(OFFSET('Model - OLD'!$C$12,1,$U94+$U$5*$V94,25)),IF($X94="min",MIN(OFFSET('Model - OLD'!$C$12,1,$U94+$U$5*$V94,25)),""))</f>
        <v>3600</v>
      </c>
      <c r="K94" s="253">
        <f ca="1">IF($X94="","",COUNTIF(OFFSET('Model - OLD'!$C$12,1,$U94+$U$5*$V94,25),"&gt;0"))</f>
        <v>11</v>
      </c>
      <c r="R94" s="21" t="s">
        <v>472</v>
      </c>
      <c r="S94" s="21">
        <v>2</v>
      </c>
      <c r="T94" s="21">
        <v>1</v>
      </c>
      <c r="U94" s="21">
        <v>1</v>
      </c>
      <c r="V94" s="21">
        <v>0</v>
      </c>
      <c r="W94" s="21">
        <v>1</v>
      </c>
      <c r="X94" s="21" t="s">
        <v>227</v>
      </c>
      <c r="Y94" s="21">
        <v>1</v>
      </c>
      <c r="Z94" s="21">
        <v>2</v>
      </c>
      <c r="AA94" s="21">
        <v>0</v>
      </c>
      <c r="AB94" s="21">
        <v>0</v>
      </c>
      <c r="AC94" s="21">
        <v>2</v>
      </c>
      <c r="AD94" s="21">
        <f t="shared" si="14"/>
        <v>7</v>
      </c>
      <c r="AE94" s="21">
        <f t="shared" si="33"/>
        <v>8</v>
      </c>
    </row>
    <row r="95" spans="2:31">
      <c r="B95" s="252" t="str">
        <f t="shared" ca="1" si="31"/>
        <v>11 Countries</v>
      </c>
      <c r="C95" s="90" t="s">
        <v>52</v>
      </c>
      <c r="D95" s="90"/>
      <c r="E95" s="137" cm="1">
        <f t="array" aca="1" ref="E95" ca="1">OFFSET(INDIRECT($R95),int_Country_Offset,$AD95)</f>
        <v>0.19739999999999999</v>
      </c>
      <c r="F95" s="132" t="str" cm="1">
        <f t="array" aca="1" ref="F95" ca="1">IFERROR(VLOOKUP((OFFSET(INDIRECT($R95),0,$AD95)),Dict!$A$52:$B$56,2,FALSE),(OFFSET(INDIRECT($R95),0,$AD95)))</f>
        <v>Gigawatt-hours</v>
      </c>
      <c r="G95" s="131" cm="1">
        <f t="array" aca="1" ref="G95" ca="1">OFFSET(INDIRECT($R95),int_Country_Offset,$AE95)</f>
        <v>12</v>
      </c>
      <c r="H95" s="256" t="s">
        <v>67</v>
      </c>
      <c r="I95" s="235" t="str">
        <f t="shared" si="32"/>
        <v>High value better</v>
      </c>
      <c r="J95" s="236">
        <f ca="1">IF($X95="max",MAX(OFFSET('Model - OLD'!$C$12,1,$U95+$U$5*$V95,25)),IF($X95="min",MIN(OFFSET('Model - OLD'!$C$12,1,$U95+$U$5*$V95,25)),""))</f>
        <v>3600</v>
      </c>
      <c r="K95" s="253">
        <f ca="1">IF($X95="","",COUNTIF(OFFSET('Model - OLD'!$C$12,1,$U95+$U$5*$V95,25),"&gt;0"))</f>
        <v>11</v>
      </c>
      <c r="R95" s="21" t="s">
        <v>472</v>
      </c>
      <c r="S95" s="21">
        <v>5</v>
      </c>
      <c r="T95" s="21">
        <v>1</v>
      </c>
      <c r="U95" s="21">
        <v>1</v>
      </c>
      <c r="V95" s="21">
        <v>0</v>
      </c>
      <c r="W95" s="21">
        <v>1</v>
      </c>
      <c r="X95" s="21" t="s">
        <v>227</v>
      </c>
      <c r="Y95" s="21">
        <v>1</v>
      </c>
      <c r="Z95" s="21">
        <v>2</v>
      </c>
      <c r="AA95" s="21">
        <v>0</v>
      </c>
      <c r="AB95" s="21">
        <v>0</v>
      </c>
      <c r="AC95" s="21">
        <v>2</v>
      </c>
      <c r="AD95" s="21">
        <f t="shared" si="14"/>
        <v>19</v>
      </c>
      <c r="AE95" s="21">
        <f t="shared" si="33"/>
        <v>20</v>
      </c>
    </row>
    <row r="96" spans="2:31">
      <c r="B96" s="252" t="str">
        <f t="shared" ca="1" si="31"/>
        <v>11 Countries</v>
      </c>
      <c r="C96" s="90" t="s">
        <v>53</v>
      </c>
      <c r="D96" s="90"/>
      <c r="E96" s="137" cm="1">
        <f t="array" aca="1" ref="E96" ca="1">OFFSET(INDIRECT($R96),int_Country_Offset,$AD96)</f>
        <v>0.01</v>
      </c>
      <c r="F96" s="132" t="str" cm="1">
        <f t="array" aca="1" ref="F96" ca="1">IFERROR(VLOOKUP((OFFSET(INDIRECT($R96),0,$AD96)),Dict!$A$52:$B$56,2,FALSE),(OFFSET(INDIRECT($R96),0,$AD96)))</f>
        <v>Gigawatt-hours</v>
      </c>
      <c r="G96" s="131" cm="1">
        <f t="array" aca="1" ref="G96" ca="1">OFFSET(INDIRECT($R96),int_Country_Offset,$AE96)</f>
        <v>18</v>
      </c>
      <c r="H96" s="256" t="s">
        <v>67</v>
      </c>
      <c r="I96" s="235" t="str">
        <f t="shared" si="32"/>
        <v>High value better</v>
      </c>
      <c r="J96" s="236">
        <f ca="1">IF($X96="max",MAX(OFFSET('Model - OLD'!$C$12,1,$U96+$U$5*$V96,25)),IF($X96="min",MIN(OFFSET('Model - OLD'!$C$12,1,$U96+$U$5*$V96,25)),""))</f>
        <v>3600</v>
      </c>
      <c r="K96" s="253">
        <f ca="1">IF($X96="","",COUNTIF(OFFSET('Model - OLD'!$C$12,1,$U96+$U$5*$V96,25),"&gt;0"))</f>
        <v>11</v>
      </c>
      <c r="R96" s="21" t="s">
        <v>472</v>
      </c>
      <c r="S96" s="21">
        <v>3</v>
      </c>
      <c r="T96" s="21">
        <v>1</v>
      </c>
      <c r="U96" s="21">
        <v>1</v>
      </c>
      <c r="V96" s="21">
        <v>0</v>
      </c>
      <c r="W96" s="21">
        <v>1</v>
      </c>
      <c r="X96" s="21" t="s">
        <v>227</v>
      </c>
      <c r="Y96" s="21">
        <v>1</v>
      </c>
      <c r="Z96" s="21">
        <v>2</v>
      </c>
      <c r="AA96" s="21">
        <v>0</v>
      </c>
      <c r="AB96" s="21">
        <v>0</v>
      </c>
      <c r="AC96" s="21">
        <v>2</v>
      </c>
      <c r="AD96" s="21">
        <f t="shared" si="14"/>
        <v>11</v>
      </c>
      <c r="AE96" s="21">
        <f t="shared" si="33"/>
        <v>12</v>
      </c>
    </row>
    <row r="97" spans="2:31">
      <c r="B97" s="252" t="str">
        <f t="shared" ca="1" si="31"/>
        <v>11 Countries</v>
      </c>
      <c r="C97" s="90" t="s">
        <v>54</v>
      </c>
      <c r="D97" s="90"/>
      <c r="E97" s="137" cm="1">
        <f t="array" aca="1" ref="E97" ca="1">OFFSET(INDIRECT($R97),int_Country_Offset,$AD97)</f>
        <v>0</v>
      </c>
      <c r="F97" s="132" t="str" cm="1">
        <f t="array" aca="1" ref="F97" ca="1">IFERROR(VLOOKUP((OFFSET(INDIRECT($R97),0,$AD97)),Dict!$A$52:$B$56,2,FALSE),(OFFSET(INDIRECT($R97),0,$AD97)))</f>
        <v>Gigawatt-hours</v>
      </c>
      <c r="G97" s="131" cm="1">
        <f t="array" aca="1" ref="G97" ca="1">OFFSET(INDIRECT($R97),int_Country_Offset,$AE97)</f>
        <v>13</v>
      </c>
      <c r="H97" s="256" t="s">
        <v>67</v>
      </c>
      <c r="I97" s="235" t="str">
        <f t="shared" si="32"/>
        <v>High value better</v>
      </c>
      <c r="J97" s="236">
        <f ca="1">IF($X97="max",MAX(OFFSET('Model - OLD'!$C$12,1,$U97+$U$5*$V97,25)),IF($X97="min",MIN(OFFSET('Model - OLD'!$C$12,1,$U97+$U$5*$V97,25)),""))</f>
        <v>3600</v>
      </c>
      <c r="K97" s="253">
        <f ca="1">IF($X97="","",COUNTIF(OFFSET('Model - OLD'!$C$12,1,$U97+$U$5*$V97,25),"&gt;0"))</f>
        <v>11</v>
      </c>
      <c r="R97" s="21" t="s">
        <v>472</v>
      </c>
      <c r="S97" s="21">
        <v>4</v>
      </c>
      <c r="T97" s="21">
        <v>1</v>
      </c>
      <c r="U97" s="21">
        <v>1</v>
      </c>
      <c r="V97" s="21">
        <v>0</v>
      </c>
      <c r="W97" s="21">
        <v>1</v>
      </c>
      <c r="X97" s="21" t="s">
        <v>227</v>
      </c>
      <c r="Y97" s="21">
        <v>1</v>
      </c>
      <c r="Z97" s="21">
        <v>2</v>
      </c>
      <c r="AA97" s="21">
        <v>0</v>
      </c>
      <c r="AB97" s="21">
        <v>0</v>
      </c>
      <c r="AC97" s="21">
        <v>2</v>
      </c>
      <c r="AD97" s="21">
        <f t="shared" si="14"/>
        <v>15</v>
      </c>
      <c r="AE97" s="21">
        <f t="shared" si="33"/>
        <v>16</v>
      </c>
    </row>
    <row r="98" spans="2:31">
      <c r="B98" s="252" t="str">
        <f t="shared" ca="1" si="31"/>
        <v>11 Countries</v>
      </c>
      <c r="C98" s="90" t="s">
        <v>206</v>
      </c>
      <c r="D98" s="90"/>
      <c r="E98" s="137" cm="1">
        <f t="array" aca="1" ref="E98" ca="1">OFFSET(INDIRECT($R98),int_Country_Offset,$AD98)</f>
        <v>0.80740000000000001</v>
      </c>
      <c r="F98" s="132" t="str" cm="1">
        <f t="array" aca="1" ref="F98" ca="1">IFERROR(VLOOKUP((OFFSET(INDIRECT($R98),0,$AD98)),Dict!$A$52:$B$56,2,FALSE),(OFFSET(INDIRECT($R98),0,$AD98)))</f>
        <v>Gigawatt-hours</v>
      </c>
      <c r="G98" s="131" cm="1">
        <f t="array" aca="1" ref="G98" ca="1">OFFSET(INDIRECT($R98),int_Country_Offset,$AE98)</f>
        <v>19</v>
      </c>
      <c r="H98" s="256" t="s">
        <v>67</v>
      </c>
      <c r="I98" s="235" t="str">
        <f t="shared" si="32"/>
        <v>High value better</v>
      </c>
      <c r="J98" s="236">
        <f ca="1">IF($X98="max",MAX(OFFSET('Model - OLD'!$C$12,1,$U98+$U$5*$V98,25)),IF($X98="min",MIN(OFFSET('Model - OLD'!$C$12,1,$U98+$U$5*$V98,25)),""))</f>
        <v>3600</v>
      </c>
      <c r="K98" s="253">
        <f ca="1">IF($X98="","",COUNTIF(OFFSET('Model - OLD'!$C$12,1,$U98+$U$5*$V98,25),"&gt;0"))</f>
        <v>11</v>
      </c>
      <c r="R98" s="21" t="s">
        <v>472</v>
      </c>
      <c r="S98" s="21">
        <v>6</v>
      </c>
      <c r="T98" s="21">
        <v>1</v>
      </c>
      <c r="U98" s="21">
        <v>1</v>
      </c>
      <c r="V98" s="21">
        <v>0</v>
      </c>
      <c r="W98" s="21">
        <v>1</v>
      </c>
      <c r="X98" s="21" t="s">
        <v>227</v>
      </c>
      <c r="Y98" s="21">
        <v>1</v>
      </c>
      <c r="Z98" s="21">
        <v>2</v>
      </c>
      <c r="AA98" s="21">
        <v>0</v>
      </c>
      <c r="AB98" s="21">
        <v>0</v>
      </c>
      <c r="AC98" s="21">
        <v>2</v>
      </c>
      <c r="AD98" s="21">
        <f t="shared" si="14"/>
        <v>23</v>
      </c>
      <c r="AE98" s="21">
        <f t="shared" si="33"/>
        <v>24</v>
      </c>
    </row>
    <row r="99" spans="2:31">
      <c r="B99" s="252" t="str">
        <f t="shared" ca="1" si="31"/>
        <v>11 Countries</v>
      </c>
      <c r="C99" s="90" t="s">
        <v>213</v>
      </c>
      <c r="D99" s="90"/>
      <c r="E99" s="137" cm="1">
        <f t="array" aca="1" ref="E99" ca="1">OFFSET(INDIRECT($R99),int_Country_Offset,$AD99)</f>
        <v>119.8</v>
      </c>
      <c r="F99" s="132" t="str" cm="1">
        <f t="array" aca="1" ref="F99" ca="1">IFERROR(VLOOKUP((OFFSET(INDIRECT($R99),0,$AD99)),Dict!$A$52:$B$56,2,FALSE),(OFFSET(INDIRECT($R99),0,$AD99)))</f>
        <v>Gigawatt-hours</v>
      </c>
      <c r="G99" s="131" cm="1">
        <f t="array" aca="1" ref="G99" ca="1">OFFSET(INDIRECT($R99),int_Country_Offset,$AE99)</f>
        <v>3.0000000000000004</v>
      </c>
      <c r="H99" s="256" t="s">
        <v>67</v>
      </c>
      <c r="I99" s="235" t="str">
        <f t="shared" si="32"/>
        <v>High value better</v>
      </c>
      <c r="J99" s="236">
        <f ca="1">IF($X99="max",MAX(OFFSET('Model - OLD'!$C$12,1,$U99+$U$5*$V99,25)),IF($X99="min",MIN(OFFSET('Model - OLD'!$C$12,1,$U99+$U$5*$V99,25)),""))</f>
        <v>3600</v>
      </c>
      <c r="K99" s="253">
        <f ca="1">IF($X99="","",COUNTIF(OFFSET('Model - OLD'!$C$12,1,$U99+$U$5*$V99,25),"&gt;0"))</f>
        <v>11</v>
      </c>
      <c r="R99" s="21" t="s">
        <v>472</v>
      </c>
      <c r="S99" s="21">
        <v>7</v>
      </c>
      <c r="T99" s="21">
        <v>1</v>
      </c>
      <c r="U99" s="21">
        <v>1</v>
      </c>
      <c r="V99" s="21">
        <v>0</v>
      </c>
      <c r="W99" s="21">
        <v>1</v>
      </c>
      <c r="X99" s="21" t="s">
        <v>227</v>
      </c>
      <c r="Y99" s="21">
        <v>1</v>
      </c>
      <c r="Z99" s="21">
        <v>2</v>
      </c>
      <c r="AA99" s="21">
        <v>0</v>
      </c>
      <c r="AB99" s="21">
        <v>0</v>
      </c>
      <c r="AC99" s="21">
        <v>2</v>
      </c>
      <c r="AD99" s="21">
        <f t="shared" si="14"/>
        <v>27</v>
      </c>
      <c r="AE99" s="21">
        <f t="shared" si="33"/>
        <v>28</v>
      </c>
    </row>
    <row r="100" spans="2:31">
      <c r="B100" s="254" t="str">
        <f t="shared" ca="1" si="31"/>
        <v>11 Countries</v>
      </c>
      <c r="C100" s="116" t="s">
        <v>214</v>
      </c>
      <c r="D100" s="116"/>
      <c r="E100" s="138" cm="1">
        <f t="array" aca="1" ref="E100" ca="1">OFFSET(INDIRECT($R100),int_Country_Offset,$AD100)</f>
        <v>11</v>
      </c>
      <c r="F100" s="139" t="s">
        <v>120</v>
      </c>
      <c r="G100" s="141" cm="1">
        <f t="array" aca="1" ref="G100" ca="1">OFFSET(INDIRECT($R100),int_Country_Offset,$AE100)</f>
        <v>19</v>
      </c>
      <c r="H100" s="256" t="s">
        <v>67</v>
      </c>
      <c r="I100" s="237" t="str">
        <f t="shared" si="32"/>
        <v>High value better</v>
      </c>
      <c r="J100" s="238">
        <f ca="1">IF($X100="max",MAX(OFFSET('Model - OLD'!$C$12,1,$U100+$U$5*$V100,25)),IF($X100="min",MIN(OFFSET('Model - OLD'!$C$12,1,$U100+$U$5*$V100,25)),""))</f>
        <v>3600</v>
      </c>
      <c r="K100" s="255">
        <f ca="1">IF($X100="","",COUNTIF(OFFSET('Model - OLD'!$C$12,1,$U100+$U$5*$V100,25),"&gt;0"))</f>
        <v>11</v>
      </c>
      <c r="R100" s="21" t="s">
        <v>472</v>
      </c>
      <c r="S100" s="21">
        <v>8</v>
      </c>
      <c r="T100" s="21">
        <v>1</v>
      </c>
      <c r="U100" s="21">
        <v>1</v>
      </c>
      <c r="V100" s="21">
        <v>0</v>
      </c>
      <c r="W100" s="21">
        <v>1</v>
      </c>
      <c r="X100" s="21" t="s">
        <v>227</v>
      </c>
      <c r="Y100" s="21">
        <v>1</v>
      </c>
      <c r="Z100" s="21">
        <v>2</v>
      </c>
      <c r="AA100" s="21">
        <v>0</v>
      </c>
      <c r="AB100" s="21">
        <v>0</v>
      </c>
      <c r="AC100" s="21">
        <v>2</v>
      </c>
      <c r="AD100" s="21">
        <f t="shared" si="14"/>
        <v>31</v>
      </c>
      <c r="AE100" s="21">
        <f t="shared" si="33"/>
        <v>32</v>
      </c>
    </row>
    <row r="101" spans="2:31" ht="20.25">
      <c r="B101" s="257" t="s">
        <v>221</v>
      </c>
      <c r="C101" s="89"/>
      <c r="D101" s="89"/>
      <c r="E101" s="89"/>
      <c r="F101" s="89"/>
      <c r="G101" s="147"/>
      <c r="H101" s="89"/>
      <c r="I101" s="89"/>
      <c r="J101" s="89"/>
      <c r="K101" s="89"/>
    </row>
    <row r="102" spans="2:31">
      <c r="B102" s="258" t="str">
        <f ca="1">IF(OR(K102&lt;2,K102=""), "", HYPERLINK("#", K102 &amp; " Countries"))</f>
        <v>25 Countries</v>
      </c>
      <c r="C102" s="88" t="s">
        <v>224</v>
      </c>
      <c r="D102" s="88"/>
      <c r="E102" s="130">
        <f ca="1">OFFSET('Model - OLD'!$C$12,$U$4,$U102+$U$5*$V102,1,1)</f>
        <v>2.8200000000000003</v>
      </c>
      <c r="F102" s="217" t="s">
        <v>120</v>
      </c>
      <c r="G102" s="241">
        <f ca="1">OFFSET('Model - OLD'!$C$12,$U$4,$U102+$U$5*$V102+$W102,1,1)</f>
        <v>13</v>
      </c>
      <c r="H102" s="265"/>
      <c r="I102" s="266" t="str">
        <f>IF(X102="min","Low value better","High value better")</f>
        <v>Low value better</v>
      </c>
      <c r="J102" s="267">
        <f ca="1">IF($X102="max",MAX(OFFSET('Model - OLD'!$C$12,1,$U102+$U$5*$V102,25)),IF($X102="min",MIN(OFFSET('Model - OLD'!$C$12,1,$U102+$U$5*$V102,25)),""))</f>
        <v>1.1600000000000001</v>
      </c>
      <c r="K102" s="268">
        <f ca="1">IF($X102="","",COUNTIF(OFFSET('Model - OLD'!$C$12,1,$U102+$U$5*$V102,25),"&gt;0"))</f>
        <v>25</v>
      </c>
      <c r="U102" s="21">
        <v>158</v>
      </c>
      <c r="V102" s="21">
        <v>2</v>
      </c>
      <c r="W102" s="21">
        <v>1</v>
      </c>
      <c r="X102" s="21" t="s">
        <v>225</v>
      </c>
    </row>
    <row r="103" spans="2:31">
      <c r="B103" s="270" t="s">
        <v>279</v>
      </c>
      <c r="E103" s="23"/>
      <c r="F103" s="23"/>
      <c r="G103" s="114"/>
      <c r="H103" s="115"/>
      <c r="I103" s="120"/>
    </row>
    <row r="104" spans="2:31">
      <c r="E104" s="23"/>
      <c r="F104" s="23"/>
      <c r="G104" s="114"/>
      <c r="H104" s="115"/>
      <c r="I104" s="120"/>
    </row>
    <row r="105" spans="2:31">
      <c r="E105" s="23"/>
      <c r="F105" s="23"/>
      <c r="G105" s="114"/>
      <c r="H105" s="115"/>
      <c r="I105" s="120"/>
    </row>
    <row r="106" spans="2:31" ht="20.25">
      <c r="B106" s="277" t="str">
        <f>"Global Ranking ("&amp;int_CountriesRanked&amp;" Countries)"</f>
        <v>Global Ranking (11 Countries)</v>
      </c>
      <c r="C106" s="42"/>
      <c r="D106" s="144"/>
      <c r="E106" s="42"/>
      <c r="F106" s="144"/>
      <c r="G106" s="57"/>
      <c r="H106" s="129"/>
      <c r="J106" s="129"/>
      <c r="K106" s="129"/>
      <c r="Q106" s="129"/>
      <c r="R106" s="129"/>
    </row>
    <row r="107" spans="2:31">
      <c r="B107" s="261" t="str">
        <f>str_Indicator &amp; IF(str_SubIndicator&lt;&gt;"", "-"&amp;str_SubIndicator,"")</f>
        <v>Cobalt-Resources</v>
      </c>
      <c r="C107" s="261"/>
      <c r="D107" s="242" t="str">
        <f>str_Indicator_Unit</f>
        <v>kmt</v>
      </c>
      <c r="E107" s="242" t="str">
        <f>IFERROR(IF(str_Ranking_Order="min", "Low value better", "High value better"), "")</f>
        <v>High value better</v>
      </c>
      <c r="G107" s="57"/>
      <c r="H107" s="129"/>
      <c r="J107" s="129"/>
      <c r="K107" s="129"/>
      <c r="Q107" s="129"/>
      <c r="R107" s="129"/>
    </row>
    <row r="108" spans="2:31">
      <c r="B108" s="243" t="str">
        <f t="shared" ref="B108:B137" si="34">IF(D108="", "", HYPERLINK("#", "View Country"))</f>
        <v>View Country</v>
      </c>
      <c r="C108" s="126" t="s">
        <v>147</v>
      </c>
      <c r="D108" s="127">
        <v>0</v>
      </c>
      <c r="E108" s="244">
        <f t="shared" ref="E108" si="35">D108</f>
        <v>0</v>
      </c>
      <c r="F108" s="129"/>
      <c r="G108" s="129"/>
      <c r="H108" s="129"/>
      <c r="I108" s="129"/>
      <c r="J108" s="129"/>
      <c r="K108" s="129"/>
      <c r="Q108" s="129"/>
      <c r="R108" s="129"/>
    </row>
    <row r="109" spans="2:31">
      <c r="B109" s="243" t="str">
        <f t="shared" si="34"/>
        <v>View Country</v>
      </c>
      <c r="C109" s="126" t="s">
        <v>83</v>
      </c>
      <c r="D109" s="127">
        <v>100</v>
      </c>
      <c r="E109" s="244">
        <f t="shared" ref="E109" si="36">D109</f>
        <v>100</v>
      </c>
      <c r="F109" s="129"/>
      <c r="I109" s="129"/>
      <c r="J109" s="129"/>
      <c r="K109" s="129"/>
      <c r="Q109" s="129"/>
      <c r="R109" s="129"/>
    </row>
    <row r="110" spans="2:31">
      <c r="B110" s="243" t="str">
        <f t="shared" si="34"/>
        <v>View Country</v>
      </c>
      <c r="C110" s="126" t="s">
        <v>26</v>
      </c>
      <c r="D110" s="127">
        <v>0</v>
      </c>
      <c r="E110" s="244">
        <f t="shared" ref="E110" si="37">D110</f>
        <v>0</v>
      </c>
      <c r="F110" s="129"/>
      <c r="I110" s="129"/>
      <c r="J110" s="129"/>
      <c r="K110" s="129"/>
      <c r="Q110" s="129"/>
      <c r="R110" s="129"/>
    </row>
    <row r="111" spans="2:31">
      <c r="B111" s="243" t="str">
        <f t="shared" si="34"/>
        <v>View Country</v>
      </c>
      <c r="C111" s="126" t="s">
        <v>25</v>
      </c>
      <c r="D111" s="127">
        <v>0</v>
      </c>
      <c r="E111" s="244">
        <f t="shared" ref="E111" si="38">D111</f>
        <v>0</v>
      </c>
      <c r="F111" s="129"/>
      <c r="I111" s="129"/>
      <c r="J111" s="129"/>
      <c r="K111" s="129"/>
      <c r="Q111" s="129"/>
      <c r="R111" s="129"/>
    </row>
    <row r="112" spans="2:31">
      <c r="B112" s="243" t="str">
        <f t="shared" si="34"/>
        <v>View Country</v>
      </c>
      <c r="C112" s="126" t="s">
        <v>55</v>
      </c>
      <c r="D112" s="127">
        <v>0</v>
      </c>
      <c r="E112" s="244">
        <f>D112</f>
        <v>0</v>
      </c>
      <c r="F112" s="129"/>
      <c r="I112" s="129"/>
      <c r="J112" s="128"/>
      <c r="K112" s="50"/>
    </row>
    <row r="113" spans="2:11">
      <c r="B113" s="243" t="str">
        <f t="shared" si="34"/>
        <v>View Country</v>
      </c>
      <c r="C113" s="126" t="s">
        <v>339</v>
      </c>
      <c r="D113" s="127">
        <v>0</v>
      </c>
      <c r="E113" s="244">
        <f t="shared" ref="E113:E137" si="39">D113</f>
        <v>0</v>
      </c>
      <c r="F113" s="129"/>
      <c r="I113" s="129"/>
      <c r="J113" s="128"/>
      <c r="K113" s="50"/>
    </row>
    <row r="114" spans="2:11">
      <c r="B114" s="243" t="str">
        <f t="shared" si="34"/>
        <v>View Country</v>
      </c>
      <c r="C114" s="126" t="s">
        <v>27</v>
      </c>
      <c r="D114" s="127">
        <v>0</v>
      </c>
      <c r="E114" s="244">
        <f t="shared" si="39"/>
        <v>0</v>
      </c>
      <c r="F114" s="129"/>
      <c r="I114" s="129"/>
      <c r="J114" s="128"/>
      <c r="K114" s="50"/>
    </row>
    <row r="115" spans="2:11">
      <c r="B115" s="243" t="str">
        <f t="shared" si="34"/>
        <v>View Country</v>
      </c>
      <c r="C115" s="126" t="s">
        <v>340</v>
      </c>
      <c r="D115" s="127">
        <v>0</v>
      </c>
      <c r="E115" s="244">
        <f t="shared" si="39"/>
        <v>0</v>
      </c>
      <c r="F115" s="129"/>
      <c r="I115" s="129"/>
      <c r="J115" s="128"/>
      <c r="K115" s="50"/>
    </row>
    <row r="116" spans="2:11">
      <c r="B116" s="243" t="str">
        <f t="shared" si="34"/>
        <v>View Country</v>
      </c>
      <c r="C116" s="126" t="s">
        <v>28</v>
      </c>
      <c r="D116" s="127">
        <v>0</v>
      </c>
      <c r="E116" s="244">
        <f t="shared" si="39"/>
        <v>0</v>
      </c>
      <c r="F116" s="129"/>
      <c r="I116" s="129"/>
      <c r="J116" s="128"/>
      <c r="K116" s="50"/>
    </row>
    <row r="117" spans="2:11">
      <c r="B117" s="243" t="str">
        <f t="shared" si="34"/>
        <v>View Country</v>
      </c>
      <c r="C117" s="126" t="s">
        <v>341</v>
      </c>
      <c r="D117" s="127">
        <v>36</v>
      </c>
      <c r="E117" s="244">
        <f t="shared" si="39"/>
        <v>36</v>
      </c>
      <c r="F117" s="129"/>
      <c r="I117" s="129"/>
      <c r="J117" s="128"/>
      <c r="K117" s="50"/>
    </row>
    <row r="118" spans="2:11">
      <c r="B118" s="243" t="str">
        <f t="shared" si="34"/>
        <v>View Country</v>
      </c>
      <c r="C118" s="126" t="s">
        <v>342</v>
      </c>
      <c r="D118" s="127">
        <v>0</v>
      </c>
      <c r="E118" s="244">
        <f t="shared" si="39"/>
        <v>0</v>
      </c>
      <c r="F118" s="129"/>
      <c r="I118" s="129"/>
      <c r="J118" s="128"/>
      <c r="K118" s="50"/>
    </row>
    <row r="119" spans="2:11">
      <c r="B119" s="243" t="str">
        <f t="shared" si="34"/>
        <v>View Country</v>
      </c>
      <c r="C119" s="126" t="s">
        <v>343</v>
      </c>
      <c r="D119" s="127">
        <v>4000</v>
      </c>
      <c r="E119" s="244">
        <f t="shared" si="39"/>
        <v>4000</v>
      </c>
      <c r="F119" s="129"/>
      <c r="I119" s="129"/>
      <c r="J119" s="128"/>
      <c r="K119" s="50"/>
    </row>
    <row r="120" spans="2:11">
      <c r="B120" s="243" t="str">
        <f t="shared" si="34"/>
        <v>View Country</v>
      </c>
      <c r="C120" s="126" t="s">
        <v>344</v>
      </c>
      <c r="D120" s="127">
        <v>13</v>
      </c>
      <c r="E120" s="244">
        <f t="shared" si="39"/>
        <v>13</v>
      </c>
      <c r="F120" s="129"/>
      <c r="I120" s="129"/>
      <c r="J120" s="128"/>
      <c r="K120" s="50"/>
    </row>
    <row r="121" spans="2:11">
      <c r="B121" s="243" t="str">
        <f t="shared" si="34"/>
        <v>View Country</v>
      </c>
      <c r="C121" s="126" t="s">
        <v>32</v>
      </c>
      <c r="D121" s="127">
        <v>50</v>
      </c>
      <c r="E121" s="244">
        <f t="shared" si="39"/>
        <v>50</v>
      </c>
      <c r="F121" s="129"/>
      <c r="I121" s="129"/>
      <c r="J121" s="128"/>
      <c r="K121" s="50"/>
    </row>
    <row r="122" spans="2:11">
      <c r="B122" s="243" t="str">
        <f t="shared" si="34"/>
        <v>View Country</v>
      </c>
      <c r="C122" s="126" t="s">
        <v>29</v>
      </c>
      <c r="D122" s="127">
        <v>220</v>
      </c>
      <c r="E122" s="244">
        <f t="shared" si="39"/>
        <v>220</v>
      </c>
      <c r="F122" s="129"/>
      <c r="I122" s="129"/>
      <c r="J122" s="128"/>
      <c r="K122" s="50"/>
    </row>
    <row r="123" spans="2:11">
      <c r="B123" s="243" t="str">
        <f t="shared" si="34"/>
        <v>View Country</v>
      </c>
      <c r="C123" s="126" t="s">
        <v>12</v>
      </c>
      <c r="D123" s="127">
        <v>10</v>
      </c>
      <c r="E123" s="244">
        <f t="shared" si="39"/>
        <v>10</v>
      </c>
      <c r="F123" s="129"/>
      <c r="I123" s="129"/>
      <c r="J123" s="128"/>
      <c r="K123" s="50"/>
    </row>
    <row r="124" spans="2:11">
      <c r="B124" s="243" t="str">
        <f t="shared" si="34"/>
        <v>View Country</v>
      </c>
      <c r="C124" s="126" t="s">
        <v>345</v>
      </c>
      <c r="D124" s="127">
        <v>69</v>
      </c>
      <c r="E124" s="244">
        <f t="shared" si="39"/>
        <v>69</v>
      </c>
      <c r="F124" s="129"/>
      <c r="I124" s="129"/>
      <c r="J124" s="128"/>
      <c r="K124" s="50"/>
    </row>
    <row r="125" spans="2:11">
      <c r="B125" s="243" t="str">
        <f t="shared" si="34"/>
        <v>View Country</v>
      </c>
      <c r="C125" s="126" t="s">
        <v>59</v>
      </c>
      <c r="D125" s="127">
        <v>0</v>
      </c>
      <c r="E125" s="244">
        <f t="shared" si="39"/>
        <v>0</v>
      </c>
      <c r="F125" s="129"/>
      <c r="I125" s="129"/>
      <c r="J125" s="128"/>
      <c r="K125" s="50"/>
    </row>
    <row r="126" spans="2:11">
      <c r="B126" s="243" t="str">
        <f t="shared" si="34"/>
        <v>View Country</v>
      </c>
      <c r="C126" s="126" t="s">
        <v>346</v>
      </c>
      <c r="D126" s="127">
        <v>0</v>
      </c>
      <c r="E126" s="244">
        <f t="shared" si="39"/>
        <v>0</v>
      </c>
      <c r="F126" s="129"/>
      <c r="I126" s="129"/>
      <c r="J126" s="128"/>
      <c r="K126" s="50"/>
    </row>
    <row r="127" spans="2:11">
      <c r="B127" s="243" t="str">
        <f t="shared" si="34"/>
        <v>View Country</v>
      </c>
      <c r="C127" s="126" t="s">
        <v>11</v>
      </c>
      <c r="D127" s="127">
        <v>10</v>
      </c>
      <c r="E127" s="244">
        <f t="shared" si="39"/>
        <v>10</v>
      </c>
      <c r="F127" s="129"/>
      <c r="I127" s="129"/>
      <c r="J127" s="128"/>
      <c r="K127" s="50"/>
    </row>
    <row r="128" spans="2:11">
      <c r="B128" s="243" t="str">
        <f t="shared" si="34"/>
        <v>View Country</v>
      </c>
      <c r="C128" s="126" t="s">
        <v>39</v>
      </c>
      <c r="D128" s="127">
        <v>0.5</v>
      </c>
      <c r="E128" s="244">
        <f t="shared" si="39"/>
        <v>0.5</v>
      </c>
      <c r="F128" s="129"/>
      <c r="I128" s="129"/>
      <c r="J128" s="128"/>
      <c r="K128" s="50"/>
    </row>
    <row r="129" spans="2:11">
      <c r="B129" s="243" t="str">
        <f t="shared" si="34"/>
        <v>View Country</v>
      </c>
      <c r="C129" s="126" t="s">
        <v>6</v>
      </c>
      <c r="D129" s="127">
        <v>140</v>
      </c>
      <c r="E129" s="244">
        <f t="shared" si="39"/>
        <v>140</v>
      </c>
      <c r="F129" s="129"/>
      <c r="I129" s="129"/>
      <c r="J129" s="128"/>
      <c r="K129" s="50"/>
    </row>
    <row r="130" spans="2:11">
      <c r="B130" s="243" t="str">
        <f t="shared" si="34"/>
        <v>View Country</v>
      </c>
      <c r="C130" s="126" t="s">
        <v>8</v>
      </c>
      <c r="D130" s="127">
        <v>0</v>
      </c>
      <c r="E130" s="244">
        <f t="shared" si="39"/>
        <v>0</v>
      </c>
      <c r="F130" s="129"/>
      <c r="I130" s="129"/>
      <c r="J130" s="128"/>
      <c r="K130" s="50"/>
    </row>
    <row r="131" spans="2:11">
      <c r="B131" s="243" t="str">
        <f t="shared" si="34"/>
        <v>View Country</v>
      </c>
      <c r="C131" s="126" t="s">
        <v>14</v>
      </c>
      <c r="D131" s="127">
        <v>0</v>
      </c>
      <c r="E131" s="244">
        <f t="shared" si="39"/>
        <v>0</v>
      </c>
      <c r="F131" s="129"/>
      <c r="I131" s="129"/>
      <c r="J131" s="128"/>
      <c r="K131" s="50"/>
    </row>
    <row r="132" spans="2:11">
      <c r="B132" s="243" t="str">
        <f t="shared" ref="B132:B136" si="40">IF(D132="", "", HYPERLINK("#", "View Country"))</f>
        <v>View Country</v>
      </c>
      <c r="C132" s="126" t="s">
        <v>9</v>
      </c>
      <c r="D132" s="127">
        <v>1500</v>
      </c>
      <c r="E132" s="244">
        <f t="shared" ref="E132:E136" si="41">D132</f>
        <v>1500</v>
      </c>
      <c r="F132" s="129"/>
      <c r="I132" s="129"/>
      <c r="J132" s="128"/>
      <c r="K132" s="50"/>
    </row>
    <row r="133" spans="2:11">
      <c r="B133" s="243" t="str">
        <f t="shared" si="40"/>
        <v>View Country</v>
      </c>
      <c r="C133" s="126" t="s">
        <v>7</v>
      </c>
      <c r="D133" s="127">
        <v>0</v>
      </c>
      <c r="E133" s="244">
        <f t="shared" si="41"/>
        <v>0</v>
      </c>
      <c r="F133" s="129"/>
      <c r="I133" s="129"/>
      <c r="J133" s="128"/>
      <c r="K133" s="50"/>
    </row>
    <row r="134" spans="2:11">
      <c r="B134" s="243" t="str">
        <f t="shared" si="40"/>
        <v>View Country</v>
      </c>
      <c r="C134" s="126" t="s">
        <v>10</v>
      </c>
      <c r="D134" s="127">
        <v>600</v>
      </c>
      <c r="E134" s="244">
        <f t="shared" si="41"/>
        <v>600</v>
      </c>
      <c r="F134" s="129"/>
      <c r="I134" s="129"/>
      <c r="J134" s="128"/>
      <c r="K134" s="50"/>
    </row>
    <row r="135" spans="2:11">
      <c r="B135" s="243" t="str">
        <f t="shared" si="40"/>
        <v>View Country</v>
      </c>
      <c r="C135" s="126" t="s">
        <v>82</v>
      </c>
      <c r="D135" s="127">
        <v>260</v>
      </c>
      <c r="E135" s="244">
        <f t="shared" si="41"/>
        <v>260</v>
      </c>
      <c r="F135" s="129"/>
      <c r="I135" s="129"/>
      <c r="J135" s="128"/>
      <c r="K135" s="50"/>
    </row>
    <row r="136" spans="2:11">
      <c r="B136" s="243" t="str">
        <f t="shared" si="40"/>
        <v>View Country</v>
      </c>
      <c r="C136" s="126" t="s">
        <v>57</v>
      </c>
      <c r="D136" s="127">
        <v>0</v>
      </c>
      <c r="E136" s="244">
        <f t="shared" si="41"/>
        <v>0</v>
      </c>
      <c r="F136" s="129"/>
      <c r="I136" s="129"/>
      <c r="J136" s="128"/>
      <c r="K136" s="50"/>
    </row>
    <row r="137" spans="2:11">
      <c r="B137" s="271" t="str">
        <f t="shared" si="34"/>
        <v>View Country</v>
      </c>
      <c r="C137" s="272" t="s">
        <v>58</v>
      </c>
      <c r="D137" s="273">
        <v>0</v>
      </c>
      <c r="E137" s="274">
        <f t="shared" si="39"/>
        <v>0</v>
      </c>
      <c r="F137" s="275"/>
      <c r="I137" s="129"/>
      <c r="J137" s="128"/>
      <c r="K137" s="50"/>
    </row>
    <row r="138" spans="2:11">
      <c r="B138" s="270" t="s">
        <v>278</v>
      </c>
      <c r="C138" s="125"/>
      <c r="D138" s="125"/>
      <c r="E138" s="126"/>
      <c r="F138" s="127"/>
      <c r="G138" s="128"/>
      <c r="H138" s="128"/>
      <c r="I138" s="128"/>
      <c r="J138" s="128"/>
    </row>
    <row r="139" spans="2:11">
      <c r="B139" s="124"/>
      <c r="C139" s="125"/>
      <c r="D139" s="125"/>
      <c r="E139" s="126"/>
      <c r="F139" s="127"/>
      <c r="G139" s="128"/>
      <c r="H139" s="128"/>
      <c r="I139" s="128"/>
      <c r="J139" s="128"/>
    </row>
    <row r="140" spans="2:11">
      <c r="B140" s="124"/>
      <c r="C140" s="125"/>
      <c r="D140" s="125"/>
      <c r="E140" s="126"/>
      <c r="F140" s="127"/>
      <c r="G140" s="128"/>
      <c r="H140" s="128"/>
      <c r="I140" s="128"/>
      <c r="J140" s="128"/>
    </row>
    <row r="141" spans="2:11">
      <c r="B141" s="124"/>
      <c r="C141" s="125"/>
      <c r="D141" s="125"/>
      <c r="E141" s="126"/>
      <c r="F141" s="127"/>
      <c r="G141" s="128"/>
      <c r="H141" s="128"/>
      <c r="I141" s="128"/>
      <c r="J141" s="128"/>
    </row>
    <row r="142" spans="2:11">
      <c r="B142" s="124"/>
      <c r="C142" s="125"/>
      <c r="D142" s="125"/>
      <c r="E142" s="126"/>
      <c r="F142" s="127"/>
      <c r="G142" s="128"/>
      <c r="H142" s="128"/>
      <c r="I142" s="128"/>
      <c r="J142" s="128"/>
    </row>
    <row r="143" spans="2:11">
      <c r="B143" s="124"/>
      <c r="C143" s="125"/>
      <c r="D143" s="125"/>
      <c r="E143" s="126"/>
      <c r="F143" s="127"/>
      <c r="G143" s="128"/>
      <c r="H143" s="128"/>
      <c r="I143" s="128"/>
      <c r="J143" s="128"/>
    </row>
    <row r="144" spans="2:11">
      <c r="B144" s="124"/>
      <c r="C144" s="125"/>
      <c r="D144" s="125"/>
      <c r="E144" s="126"/>
      <c r="F144" s="127"/>
      <c r="G144" s="128"/>
      <c r="H144" s="128"/>
      <c r="I144" s="128"/>
      <c r="J144" s="128"/>
    </row>
    <row r="145" spans="2:10">
      <c r="B145" s="124"/>
      <c r="C145" s="125"/>
      <c r="D145" s="125"/>
      <c r="E145" s="126"/>
      <c r="F145" s="127"/>
      <c r="G145" s="128"/>
      <c r="H145" s="128"/>
      <c r="I145" s="128"/>
      <c r="J145" s="128"/>
    </row>
    <row r="146" spans="2:10">
      <c r="B146" s="124"/>
      <c r="C146" s="125"/>
      <c r="D146" s="125"/>
      <c r="E146" s="126"/>
      <c r="F146" s="127"/>
      <c r="G146" s="128"/>
      <c r="H146" s="128"/>
      <c r="I146" s="128"/>
      <c r="J146" s="128"/>
    </row>
    <row r="147" spans="2:10">
      <c r="B147" s="124"/>
      <c r="C147" s="125"/>
      <c r="D147" s="125"/>
      <c r="E147" s="126"/>
      <c r="F147" s="127"/>
      <c r="G147" s="128"/>
      <c r="H147" s="128"/>
      <c r="I147" s="128"/>
      <c r="J147" s="128"/>
    </row>
    <row r="148" spans="2:10">
      <c r="B148" s="124"/>
      <c r="C148" s="125"/>
      <c r="D148" s="125"/>
      <c r="E148" s="126"/>
      <c r="F148" s="127"/>
      <c r="G148" s="128"/>
      <c r="H148" s="128"/>
      <c r="I148" s="128"/>
      <c r="J148" s="128"/>
    </row>
    <row r="149" spans="2:10">
      <c r="B149" s="124"/>
      <c r="C149" s="125"/>
      <c r="D149" s="125"/>
      <c r="E149" s="126"/>
      <c r="F149" s="127"/>
      <c r="G149" s="128"/>
      <c r="H149" s="128"/>
      <c r="I149" s="128"/>
      <c r="J149" s="128"/>
    </row>
    <row r="150" spans="2:10">
      <c r="B150" s="124"/>
      <c r="C150" s="125"/>
      <c r="D150" s="125"/>
      <c r="E150" s="126"/>
      <c r="F150" s="127"/>
      <c r="G150" s="128"/>
      <c r="H150" s="128"/>
      <c r="I150" s="128"/>
      <c r="J150" s="128"/>
    </row>
    <row r="151" spans="2:10">
      <c r="B151" s="124"/>
      <c r="C151" s="125"/>
      <c r="D151" s="125"/>
      <c r="E151" s="126"/>
      <c r="F151" s="127"/>
      <c r="G151" s="128"/>
      <c r="H151" s="128"/>
      <c r="I151" s="128"/>
      <c r="J151" s="128"/>
    </row>
    <row r="152" spans="2:10">
      <c r="B152" s="124"/>
      <c r="C152" s="125"/>
      <c r="D152" s="125"/>
      <c r="E152" s="126"/>
      <c r="F152" s="127"/>
      <c r="G152" s="128"/>
      <c r="H152" s="128"/>
      <c r="I152" s="128"/>
      <c r="J152" s="128"/>
    </row>
    <row r="153" spans="2:10">
      <c r="B153" s="124"/>
      <c r="C153" s="125"/>
      <c r="D153" s="125"/>
      <c r="E153" s="126"/>
      <c r="F153" s="127"/>
      <c r="G153" s="128"/>
      <c r="H153" s="128"/>
      <c r="I153" s="128"/>
      <c r="J153" s="128"/>
    </row>
    <row r="154" spans="2:10">
      <c r="B154" s="124"/>
      <c r="C154" s="125"/>
      <c r="D154" s="125"/>
      <c r="E154" s="126"/>
      <c r="F154" s="127"/>
      <c r="G154" s="128"/>
      <c r="H154" s="128"/>
      <c r="I154" s="128"/>
      <c r="J154" s="128"/>
    </row>
    <row r="155" spans="2:10">
      <c r="B155" s="124"/>
      <c r="C155" s="125"/>
      <c r="D155" s="125"/>
      <c r="E155" s="126"/>
      <c r="F155" s="127"/>
      <c r="G155" s="128"/>
      <c r="H155" s="128"/>
      <c r="I155" s="128"/>
      <c r="J155" s="128"/>
    </row>
    <row r="156" spans="2:10">
      <c r="B156" s="124"/>
      <c r="C156" s="125"/>
      <c r="D156" s="125"/>
      <c r="E156" s="126"/>
      <c r="F156" s="127"/>
      <c r="G156" s="128"/>
      <c r="H156" s="128"/>
      <c r="I156" s="128"/>
      <c r="J156" s="128"/>
    </row>
    <row r="157" spans="2:10">
      <c r="B157" s="124"/>
      <c r="C157" s="125"/>
      <c r="D157" s="125"/>
      <c r="E157" s="126"/>
      <c r="F157" s="127"/>
      <c r="G157" s="128"/>
      <c r="H157" s="128"/>
      <c r="I157" s="128"/>
      <c r="J157" s="128"/>
    </row>
    <row r="158" spans="2:10">
      <c r="B158" s="124"/>
      <c r="C158" s="125"/>
      <c r="D158" s="125"/>
      <c r="E158" s="126"/>
      <c r="F158" s="127"/>
      <c r="G158" s="128"/>
      <c r="H158" s="128"/>
      <c r="I158" s="128"/>
      <c r="J158" s="128"/>
    </row>
    <row r="159" spans="2:10">
      <c r="B159" s="124"/>
      <c r="C159" s="125"/>
      <c r="D159" s="125"/>
      <c r="E159" s="126"/>
      <c r="F159" s="127"/>
      <c r="G159" s="128"/>
      <c r="H159" s="128"/>
      <c r="I159" s="128"/>
      <c r="J159" s="128"/>
    </row>
    <row r="160" spans="2:10">
      <c r="B160" s="124"/>
      <c r="C160" s="125"/>
      <c r="D160" s="125"/>
      <c r="E160" s="126"/>
      <c r="F160" s="127"/>
      <c r="G160" s="128"/>
      <c r="H160" s="128"/>
      <c r="I160" s="128"/>
      <c r="J160" s="128"/>
    </row>
    <row r="161" spans="2:10">
      <c r="B161" s="124"/>
      <c r="C161" s="125"/>
      <c r="D161" s="125"/>
      <c r="E161" s="126"/>
      <c r="F161" s="127"/>
      <c r="G161" s="128"/>
      <c r="H161" s="128"/>
      <c r="I161" s="128"/>
      <c r="J161" s="128"/>
    </row>
    <row r="162" spans="2:10">
      <c r="B162" s="124"/>
      <c r="C162" s="125"/>
      <c r="D162" s="125"/>
      <c r="E162" s="126"/>
      <c r="F162" s="127"/>
      <c r="G162" s="128"/>
      <c r="H162" s="128"/>
      <c r="I162" s="128"/>
      <c r="J162" s="128"/>
    </row>
    <row r="163" spans="2:10">
      <c r="B163" s="124"/>
      <c r="C163" s="125"/>
      <c r="D163" s="125"/>
      <c r="E163" s="126"/>
      <c r="F163" s="127"/>
      <c r="G163" s="128"/>
      <c r="H163" s="128"/>
      <c r="I163" s="128"/>
      <c r="J163" s="128"/>
    </row>
    <row r="164" spans="2:10">
      <c r="B164" s="124"/>
      <c r="C164" s="125"/>
      <c r="D164" s="125"/>
      <c r="E164" s="126"/>
      <c r="F164" s="127"/>
      <c r="G164" s="128"/>
      <c r="H164" s="128"/>
      <c r="I164" s="128"/>
      <c r="J164" s="128"/>
    </row>
    <row r="165" spans="2:10">
      <c r="B165" s="124"/>
      <c r="C165" s="125"/>
      <c r="D165" s="125"/>
      <c r="E165" s="126"/>
      <c r="F165" s="127"/>
      <c r="G165" s="128"/>
      <c r="H165" s="128"/>
      <c r="I165" s="128"/>
      <c r="J165" s="128"/>
    </row>
    <row r="166" spans="2:10">
      <c r="B166" s="124"/>
      <c r="C166" s="125"/>
      <c r="D166" s="125"/>
      <c r="E166" s="126"/>
      <c r="F166" s="127"/>
      <c r="G166" s="128"/>
      <c r="H166" s="128"/>
      <c r="I166" s="128"/>
      <c r="J166" s="128"/>
    </row>
  </sheetData>
  <sheetProtection formatCells="0"/>
  <protectedRanges>
    <protectedRange sqref="C4:D5" name="Range1"/>
    <protectedRange sqref="D9:D28" name="Range2"/>
    <protectedRange sqref="G34:G38" name="Range3"/>
  </protectedRanges>
  <phoneticPr fontId="57" type="noConversion"/>
  <conditionalFormatting sqref="B34:F39">
    <cfRule type="expression" dxfId="166" priority="299" stopIfTrue="1">
      <formula>MOD(ROW(),2)=0</formula>
    </cfRule>
  </conditionalFormatting>
  <conditionalFormatting sqref="C68:D70 C74:D102 C44:D66">
    <cfRule type="expression" dxfId="165" priority="46">
      <formula>$E44=0</formula>
    </cfRule>
  </conditionalFormatting>
  <conditionalFormatting sqref="E68:E70 J68:J70 E74:E102 J74:J102 G44:G58 J44:J66 E44:E66">
    <cfRule type="expression" dxfId="164" priority="175">
      <formula>LEFT($F44,1)="%"</formula>
    </cfRule>
  </conditionalFormatting>
  <conditionalFormatting sqref="B108:F137">
    <cfRule type="expression" dxfId="163" priority="173">
      <formula>$C108=$C$4</formula>
    </cfRule>
    <cfRule type="expression" dxfId="162" priority="189" stopIfTrue="1">
      <formula>MOD(ROW(),2)=1</formula>
    </cfRule>
  </conditionalFormatting>
  <conditionalFormatting sqref="D67:E67 G67:P67">
    <cfRule type="expression" dxfId="161" priority="85" stopIfTrue="1">
      <formula>MOD(ROW(),2)=0</formula>
    </cfRule>
  </conditionalFormatting>
  <conditionalFormatting sqref="D67">
    <cfRule type="expression" dxfId="160" priority="83">
      <formula>$E67=0</formula>
    </cfRule>
  </conditionalFormatting>
  <conditionalFormatting sqref="J67 E67">
    <cfRule type="expression" dxfId="159" priority="82">
      <formula>LEFT($F67,1)="%"</formula>
    </cfRule>
  </conditionalFormatting>
  <conditionalFormatting sqref="D67:E67 G67:P67">
    <cfRule type="expression" dxfId="158" priority="84" stopIfTrue="1">
      <formula>MOD(ROW(),2)=1</formula>
    </cfRule>
  </conditionalFormatting>
  <conditionalFormatting sqref="C71:D71">
    <cfRule type="expression" dxfId="157" priority="68">
      <formula>$E71=0</formula>
    </cfRule>
  </conditionalFormatting>
  <conditionalFormatting sqref="E71 J71">
    <cfRule type="expression" dxfId="156" priority="67">
      <formula>LEFT($F71,1)="%"</formula>
    </cfRule>
  </conditionalFormatting>
  <conditionalFormatting sqref="C72:D72">
    <cfRule type="expression" dxfId="155" priority="63">
      <formula>$E72=0</formula>
    </cfRule>
  </conditionalFormatting>
  <conditionalFormatting sqref="E72 J72">
    <cfRule type="expression" dxfId="154" priority="62">
      <formula>LEFT($F72,1)="%"</formula>
    </cfRule>
  </conditionalFormatting>
  <conditionalFormatting sqref="C73:D73">
    <cfRule type="expression" dxfId="153" priority="58">
      <formula>$E73=0</formula>
    </cfRule>
  </conditionalFormatting>
  <conditionalFormatting sqref="E73 J73">
    <cfRule type="expression" dxfId="152" priority="57">
      <formula>LEFT($F73,1)="%"</formula>
    </cfRule>
  </conditionalFormatting>
  <conditionalFormatting sqref="F82:F90">
    <cfRule type="expression" dxfId="151" priority="55" stopIfTrue="1">
      <formula>MOD(ROW(),2)=0</formula>
    </cfRule>
  </conditionalFormatting>
  <conditionalFormatting sqref="F70:F79">
    <cfRule type="expression" dxfId="150" priority="54" stopIfTrue="1">
      <formula>MOD(ROW(),2)=0</formula>
    </cfRule>
  </conditionalFormatting>
  <conditionalFormatting sqref="F70:F79">
    <cfRule type="expression" dxfId="149" priority="53" stopIfTrue="1">
      <formula>MOD(ROW(),2)=0</formula>
    </cfRule>
  </conditionalFormatting>
  <conditionalFormatting sqref="F61:F67">
    <cfRule type="expression" dxfId="148" priority="52" stopIfTrue="1">
      <formula>MOD(ROW(),2)=0</formula>
    </cfRule>
  </conditionalFormatting>
  <conditionalFormatting sqref="F61:F67">
    <cfRule type="expression" dxfId="147" priority="51" stopIfTrue="1">
      <formula>MOD(ROW(),2)=1</formula>
    </cfRule>
  </conditionalFormatting>
  <conditionalFormatting sqref="F61:F67">
    <cfRule type="expression" dxfId="146" priority="49" stopIfTrue="1">
      <formula>MOD(ROW(),2)=0</formula>
    </cfRule>
  </conditionalFormatting>
  <conditionalFormatting sqref="F61:F67">
    <cfRule type="expression" dxfId="145" priority="48" stopIfTrue="1">
      <formula>MOD(ROW(),2)=0</formula>
    </cfRule>
  </conditionalFormatting>
  <conditionalFormatting sqref="R39">
    <cfRule type="expression" dxfId="144" priority="32" stopIfTrue="1">
      <formula>MOD(ROW(),2)=0</formula>
    </cfRule>
  </conditionalFormatting>
  <conditionalFormatting sqref="E108:E137">
    <cfRule type="dataBar" priority="26">
      <dataBar showValue="0">
        <cfvo type="min"/>
        <cfvo type="max"/>
        <color theme="9"/>
      </dataBar>
      <extLst>
        <ext xmlns:x14="http://schemas.microsoft.com/office/spreadsheetml/2009/9/main" uri="{B025F937-C7B1-47D3-B67F-A62EFF666E3E}">
          <x14:id>{607ADD70-9824-453C-BD86-A25320F39DFB}</x14:id>
        </ext>
      </extLst>
    </cfRule>
    <cfRule type="dataBar" priority="300">
      <dataBar showValue="0">
        <cfvo type="min"/>
        <cfvo type="max"/>
        <color theme="4"/>
      </dataBar>
      <extLst>
        <ext xmlns:x14="http://schemas.microsoft.com/office/spreadsheetml/2009/9/main" uri="{B025F937-C7B1-47D3-B67F-A62EFF666E3E}">
          <x14:id>{96D5059C-A39C-4DFA-8DDD-880A467A994C}</x14:id>
        </ext>
      </extLst>
    </cfRule>
  </conditionalFormatting>
  <conditionalFormatting sqref="B67:C67">
    <cfRule type="expression" dxfId="143" priority="25" stopIfTrue="1">
      <formula>MOD(ROW(),2)=0</formula>
    </cfRule>
  </conditionalFormatting>
  <conditionalFormatting sqref="C67">
    <cfRule type="expression" dxfId="142" priority="23">
      <formula>$E67=0</formula>
    </cfRule>
  </conditionalFormatting>
  <conditionalFormatting sqref="B67:C67">
    <cfRule type="expression" dxfId="141" priority="24" stopIfTrue="1">
      <formula>MOD(ROW(),2)=1</formula>
    </cfRule>
  </conditionalFormatting>
  <conditionalFormatting sqref="B9:B28">
    <cfRule type="expression" dxfId="140" priority="16" stopIfTrue="1">
      <formula>MOD(ROW(),2)=1</formula>
    </cfRule>
    <cfRule type="expression" dxfId="139" priority="301" stopIfTrue="1">
      <formula>MOD(ROW(),2)=0</formula>
    </cfRule>
  </conditionalFormatting>
  <conditionalFormatting sqref="C9:C28 E10:E28">
    <cfRule type="expression" dxfId="138" priority="15" stopIfTrue="1">
      <formula>MOD(ROW(),2)=1</formula>
    </cfRule>
    <cfRule type="expression" dxfId="137" priority="302" stopIfTrue="1">
      <formula>MOD(ROW(),2)=0</formula>
    </cfRule>
  </conditionalFormatting>
  <conditionalFormatting sqref="H70">
    <cfRule type="expression" dxfId="136" priority="11" stopIfTrue="1">
      <formula>MOD(ROW(),2)=0</formula>
    </cfRule>
  </conditionalFormatting>
  <conditionalFormatting sqref="H70">
    <cfRule type="expression" dxfId="135" priority="10" stopIfTrue="1">
      <formula>MOD(ROW(),2)=1</formula>
    </cfRule>
  </conditionalFormatting>
  <conditionalFormatting sqref="H83">
    <cfRule type="expression" dxfId="134" priority="6" stopIfTrue="1">
      <formula>MOD(ROW(),2)=0</formula>
    </cfRule>
  </conditionalFormatting>
  <conditionalFormatting sqref="H83">
    <cfRule type="expression" dxfId="133" priority="5" stopIfTrue="1">
      <formula>MOD(ROW(),2)=0</formula>
    </cfRule>
  </conditionalFormatting>
  <conditionalFormatting sqref="H83">
    <cfRule type="expression" dxfId="132" priority="4" stopIfTrue="1">
      <formula>MOD(ROW(),2)=1</formula>
    </cfRule>
  </conditionalFormatting>
  <conditionalFormatting sqref="H86">
    <cfRule type="expression" dxfId="131" priority="3" stopIfTrue="1">
      <formula>MOD(ROW(),2)=0</formula>
    </cfRule>
  </conditionalFormatting>
  <conditionalFormatting sqref="H86">
    <cfRule type="expression" dxfId="130" priority="2" stopIfTrue="1">
      <formula>MOD(ROW(),2)=0</formula>
    </cfRule>
  </conditionalFormatting>
  <conditionalFormatting sqref="H86">
    <cfRule type="expression" dxfId="129" priority="1" stopIfTrue="1">
      <formula>MOD(ROW(),2)=1</formula>
    </cfRule>
  </conditionalFormatting>
  <conditionalFormatting sqref="B44:K59 B61:K68 B70:K80 B82:K91 B93:K100 B108:F137">
    <cfRule type="expression" dxfId="128" priority="47" stopIfTrue="1">
      <formula>MOD(ROW(),2)=1</formula>
    </cfRule>
    <cfRule type="expression" dxfId="127" priority="179" stopIfTrue="1">
      <formula>MOD(ROW(),2)=0</formula>
    </cfRule>
  </conditionalFormatting>
  <dataValidations count="5">
    <dataValidation allowBlank="1" showInputMessage="1" showErrorMessage="1" promptTitle="Calendar Year" prompt="Data for the last full calendar year is subject to change as indicator data is pulled in from numerous sources. In some cases, year-end data (for the last full calendar year) can take a while to be compiled by the various data suppliers." sqref="B5:B6" xr:uid="{00000000-0002-0000-0100-000000000000}"/>
    <dataValidation allowBlank="1" showInputMessage="1" showErrorMessage="1" promptTitle="View Global Rank" prompt="Click on an 'XX Countries' hyperlink below to get a global ranking of any given Indicator/Sub-Indicator." sqref="B42" xr:uid="{00000000-0002-0000-0100-000001000000}"/>
    <dataValidation allowBlank="1" showInputMessage="1" showErrorMessage="1" promptTitle="Bloomberg Tickers" prompt="Click on 'XX Countries' hyperlink in Column A to 'RANK' and view all available country specific Bloomberg Tickers for any given Indicator/Sub-Indicator." sqref="I42" xr:uid="{00000000-0002-0000-0100-000002000000}"/>
    <dataValidation allowBlank="1" showErrorMessage="1" sqref="C61 C44:C46" xr:uid="{00000000-0002-0000-0100-000003000000}"/>
    <dataValidation type="list" allowBlank="1" showInputMessage="1" showErrorMessage="1" sqref="C4:D4" xr:uid="{00000000-0002-0000-0100-000004000000}">
      <formula1>dynamicRange_Countries</formula1>
    </dataValidation>
  </dataValidations>
  <hyperlinks>
    <hyperlink ref="A2" location="str_RankColumn" display="How to Rank Countries?" xr:uid="{00000000-0004-0000-0100-00000D000000}"/>
  </hyperlinks>
  <pageMargins left="0.7" right="0.7" top="0.75" bottom="0.75" header="0.3" footer="0.3"/>
  <pageSetup paperSize="119" orientation="portrait" r:id="rId1"/>
  <drawing r:id="rId2"/>
  <extLst>
    <ext xmlns:x14="http://schemas.microsoft.com/office/spreadsheetml/2009/9/main" uri="{78C0D931-6437-407d-A8EE-F0AAD7539E65}">
      <x14:conditionalFormattings>
        <x14:conditionalFormatting xmlns:xm="http://schemas.microsoft.com/office/excel/2006/main">
          <x14:cfRule type="dataBar" id="{607ADD70-9824-453C-BD86-A25320F39DFB}">
            <x14:dataBar minLength="0" maxLength="100" gradient="0">
              <x14:cfvo type="autoMin"/>
              <x14:cfvo type="autoMax"/>
              <x14:negativeFillColor rgb="FFFF0000"/>
              <x14:axisColor rgb="FF000000"/>
            </x14:dataBar>
          </x14:cfRule>
          <x14:cfRule type="dataBar" id="{96D5059C-A39C-4DFA-8DDD-880A467A994C}">
            <x14:dataBar minLength="0" maxLength="100" gradient="0">
              <x14:cfvo type="autoMin"/>
              <x14:cfvo type="autoMax"/>
              <x14:negativeFillColor rgb="FFFF0000"/>
              <x14:axisColor rgb="FF000000"/>
            </x14:dataBar>
          </x14:cfRule>
          <xm:sqref>E108:E137</xm:sqref>
        </x14:conditionalFormatting>
        <x14:conditionalFormatting xmlns:xm="http://schemas.microsoft.com/office/excel/2006/main">
          <x14:cfRule type="expression" priority="81" id="{FCA33185-4282-4E70-B2FF-F671BB16D1C5}">
            <xm:f>AND($C67=Dict!$G$10,$D67=Dict!$G$11,Dict!$G$10&lt;&gt;"")</xm:f>
            <x14:dxf>
              <fill>
                <patternFill>
                  <bgColor theme="7" tint="0.39994506668294322"/>
                </patternFill>
              </fill>
            </x14:dxf>
          </x14:cfRule>
          <xm:sqref>D67:E67 G67:P67</xm:sqref>
        </x14:conditionalFormatting>
        <x14:conditionalFormatting xmlns:xm="http://schemas.microsoft.com/office/excel/2006/main">
          <x14:cfRule type="expression" priority="50" id="{D8672ADC-3E10-45B6-B292-D7440A550EBA}">
            <xm:f>AND($C61=Dict!$G$10,$D61=Dict!$G$11,Dict!$G$10&lt;&gt;"")</xm:f>
            <x14:dxf>
              <fill>
                <patternFill>
                  <bgColor theme="7" tint="0.39994506668294322"/>
                </patternFill>
              </fill>
            </x14:dxf>
          </x14:cfRule>
          <xm:sqref>F61:F67</xm:sqref>
        </x14:conditionalFormatting>
        <x14:conditionalFormatting xmlns:xm="http://schemas.microsoft.com/office/excel/2006/main">
          <x14:cfRule type="expression" priority="22" id="{D3D21ADC-37D0-4EAA-BE75-9270C2AF71AC}">
            <xm:f>AND($C67=Dict!$G$10,$D67=Dict!$G$11,Dict!$G$10&lt;&gt;"")</xm:f>
            <x14:dxf>
              <fill>
                <patternFill>
                  <bgColor theme="7" tint="0.39994506668294322"/>
                </patternFill>
              </fill>
            </x14:dxf>
          </x14:cfRule>
          <xm:sqref>B67:C67</xm:sqref>
        </x14:conditionalFormatting>
        <x14:conditionalFormatting xmlns:xm="http://schemas.microsoft.com/office/excel/2006/main">
          <x14:cfRule type="expression" priority="9" id="{46BFC253-1FE9-401E-9837-C0E78723B02C}">
            <xm:f>AND($C70=Dict!$G$10,$D70=Dict!$G$11,Dict!$G$10&lt;&gt;"")</xm:f>
            <x14:dxf>
              <fill>
                <patternFill>
                  <bgColor theme="7" tint="0.39994506668294322"/>
                </patternFill>
              </fill>
            </x14:dxf>
          </x14:cfRule>
          <xm:sqref>H70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5000000}">
          <x14:formula1>
            <xm:f>Dict!$C$11:$C$12</xm:f>
          </x14:formula1>
          <xm:sqref>C5:D5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FN102"/>
  <sheetViews>
    <sheetView showGridLines="0" zoomScale="115" zoomScaleNormal="115" workbookViewId="0">
      <pane xSplit="3" topLeftCell="D1" activePane="topRight" state="frozen"/>
      <selection activeCell="A4" sqref="A4"/>
      <selection pane="topRight" activeCell="A2" sqref="A2"/>
    </sheetView>
  </sheetViews>
  <sheetFormatPr defaultColWidth="9.140625" defaultRowHeight="12.75" outlineLevelCol="1"/>
  <cols>
    <col min="1" max="1" width="10.7109375" style="95" customWidth="1"/>
    <col min="2" max="2" width="14.140625" style="95" customWidth="1"/>
    <col min="3" max="3" width="14.28515625" style="95" bestFit="1" customWidth="1"/>
    <col min="4" max="4" width="9.5703125" style="95" bestFit="1" customWidth="1"/>
    <col min="5" max="5" width="9.5703125" style="95" customWidth="1"/>
    <col min="6" max="7" width="10.5703125" style="95" customWidth="1" outlineLevel="1"/>
    <col min="8" max="9" width="9.140625" style="95" customWidth="1" outlineLevel="1"/>
    <col min="10" max="11" width="10.5703125" style="95" customWidth="1" outlineLevel="1"/>
    <col min="12" max="13" width="9.140625" style="95" customWidth="1" outlineLevel="1"/>
    <col min="14" max="14" width="9.5703125" style="95" bestFit="1" customWidth="1" outlineLevel="1"/>
    <col min="15" max="15" width="9.5703125" style="95" customWidth="1" outlineLevel="1"/>
    <col min="16" max="17" width="10.5703125" style="95" customWidth="1" outlineLevel="1"/>
    <col min="18" max="19" width="9.140625" style="95" customWidth="1" outlineLevel="1"/>
    <col min="20" max="21" width="10.5703125" style="95" customWidth="1" outlineLevel="1"/>
    <col min="22" max="23" width="9.140625" style="95" customWidth="1" outlineLevel="1"/>
    <col min="24" max="24" width="9.5703125" style="95" bestFit="1" customWidth="1" outlineLevel="1"/>
    <col min="25" max="25" width="9.5703125" style="95" customWidth="1" outlineLevel="1"/>
    <col min="26" max="27" width="10.5703125" style="95" customWidth="1" outlineLevel="1"/>
    <col min="28" max="29" width="9.140625" style="95" customWidth="1" outlineLevel="1"/>
    <col min="30" max="31" width="10.5703125" style="95" customWidth="1" outlineLevel="1"/>
    <col min="32" max="33" width="9.140625" style="95" customWidth="1" outlineLevel="1"/>
    <col min="34" max="34" width="9.5703125" style="95" bestFit="1" customWidth="1" outlineLevel="1"/>
    <col min="35" max="35" width="9.5703125" style="95" customWidth="1" outlineLevel="1"/>
    <col min="36" max="37" width="10.5703125" style="95" customWidth="1" outlineLevel="1"/>
    <col min="38" max="39" width="9.140625" style="95" customWidth="1" outlineLevel="1"/>
    <col min="40" max="41" width="10.5703125" style="95" customWidth="1" outlineLevel="1"/>
    <col min="42" max="43" width="9.140625" style="95" customWidth="1" outlineLevel="1"/>
    <col min="44" max="44" width="9.5703125" style="95" bestFit="1" customWidth="1" outlineLevel="1"/>
    <col min="45" max="45" width="9.5703125" style="95" customWidth="1" outlineLevel="1"/>
    <col min="46" max="47" width="10.5703125" style="95" customWidth="1" outlineLevel="1"/>
    <col min="48" max="49" width="9.140625" style="95" customWidth="1" outlineLevel="1"/>
    <col min="50" max="51" width="10.5703125" style="95" customWidth="1" outlineLevel="1"/>
    <col min="52" max="53" width="9.140625" style="95" customWidth="1" outlineLevel="1"/>
    <col min="54" max="57" width="11.7109375" style="95" customWidth="1" outlineLevel="1"/>
    <col min="58" max="65" width="10.5703125" style="95" customWidth="1"/>
    <col min="66" max="85" width="10.5703125" style="95" customWidth="1" outlineLevel="1"/>
    <col min="86" max="89" width="13" style="95" customWidth="1"/>
    <col min="90" max="91" width="13.85546875" style="96" customWidth="1" outlineLevel="1"/>
    <col min="92" max="93" width="13" style="95" customWidth="1" outlineLevel="1"/>
    <col min="94" max="95" width="12.85546875" style="95" customWidth="1" outlineLevel="1"/>
    <col min="96" max="103" width="14.5703125" style="95" customWidth="1" outlineLevel="1"/>
    <col min="104" max="107" width="13.85546875" style="95" customWidth="1" outlineLevel="1"/>
    <col min="108" max="109" width="12.85546875" style="95" customWidth="1"/>
    <col min="110" max="110" width="14.42578125" style="95" customWidth="1" outlineLevel="1"/>
    <col min="111" max="115" width="12.85546875" style="95" customWidth="1" outlineLevel="1"/>
    <col min="116" max="117" width="14.85546875" style="95" customWidth="1" outlineLevel="1"/>
    <col min="118" max="121" width="12.85546875" style="98" customWidth="1" outlineLevel="1"/>
    <col min="122" max="127" width="14.85546875" style="95" customWidth="1" outlineLevel="1"/>
    <col min="128" max="128" width="33.140625" style="95" customWidth="1" outlineLevel="1"/>
    <col min="129" max="129" width="9.140625" style="95"/>
    <col min="130" max="130" width="11.42578125" style="95" bestFit="1" customWidth="1"/>
    <col min="131" max="131" width="9.140625" style="95" customWidth="1" outlineLevel="1"/>
    <col min="132" max="132" width="11.140625" style="95" customWidth="1" outlineLevel="1"/>
    <col min="133" max="133" width="9.140625" style="95" customWidth="1" outlineLevel="1"/>
    <col min="134" max="134" width="12.7109375" style="95" customWidth="1" outlineLevel="1"/>
    <col min="135" max="135" width="9.140625" style="95" customWidth="1" outlineLevel="1"/>
    <col min="136" max="136" width="14" style="95" customWidth="1" outlineLevel="1"/>
    <col min="137" max="137" width="9.140625" style="95" customWidth="1" outlineLevel="1"/>
    <col min="138" max="138" width="10.7109375" style="95" bestFit="1" customWidth="1" outlineLevel="1"/>
    <col min="139" max="139" width="9.140625" style="95" customWidth="1" outlineLevel="1"/>
    <col min="140" max="140" width="10.7109375" style="95" bestFit="1" customWidth="1" outlineLevel="1"/>
    <col min="141" max="145" width="9.140625" style="95" customWidth="1" outlineLevel="1"/>
    <col min="146" max="146" width="10.7109375" style="95" customWidth="1" outlineLevel="1"/>
    <col min="147" max="147" width="9.140625" style="95" customWidth="1" outlineLevel="1"/>
    <col min="148" max="148" width="11.5703125" style="95" customWidth="1" outlineLevel="1"/>
    <col min="149" max="152" width="11" style="95" customWidth="1" outlineLevel="1"/>
    <col min="153" max="156" width="11" style="95" customWidth="1"/>
    <col min="157" max="157" width="10" style="95" bestFit="1" customWidth="1"/>
    <col min="158" max="158" width="11.7109375" style="95" bestFit="1" customWidth="1"/>
    <col min="159" max="159" width="10.5703125" style="95" customWidth="1"/>
    <col min="160" max="160" width="14.28515625" style="95" customWidth="1"/>
    <col min="161" max="162" width="9.140625" style="95"/>
    <col min="163" max="163" width="10.42578125" style="95" customWidth="1"/>
    <col min="164" max="165" width="11.42578125" style="95" customWidth="1"/>
    <col min="166" max="167" width="9.140625" style="95"/>
    <col min="168" max="168" width="18.7109375" style="95" customWidth="1"/>
    <col min="169" max="169" width="15.28515625" style="95" customWidth="1"/>
    <col min="170" max="16384" width="9.140625" style="95"/>
  </cols>
  <sheetData>
    <row r="1" spans="1:170" s="24" customFormat="1" ht="38.1" customHeight="1">
      <c r="CL1" s="91"/>
      <c r="CM1" s="91"/>
      <c r="DC1" s="92"/>
      <c r="DN1" s="93"/>
      <c r="DO1" s="93"/>
      <c r="DP1" s="93"/>
      <c r="DQ1" s="93"/>
      <c r="FE1" s="94"/>
      <c r="FH1" s="92"/>
    </row>
    <row r="2" spans="1:170">
      <c r="DC2" s="97"/>
      <c r="FE2" s="99"/>
      <c r="FH2" s="97"/>
    </row>
    <row r="3" spans="1:170" ht="15">
      <c r="A3" s="100" t="s">
        <v>19</v>
      </c>
      <c r="B3" s="101" t="s">
        <v>65</v>
      </c>
      <c r="DC3" s="97"/>
      <c r="FE3" s="99"/>
      <c r="FH3" s="97"/>
    </row>
    <row r="4" spans="1:170">
      <c r="A4" s="100" t="s">
        <v>20</v>
      </c>
      <c r="B4" s="102" t="s">
        <v>66</v>
      </c>
      <c r="DC4" s="97"/>
      <c r="FE4" s="99"/>
      <c r="FH4" s="97"/>
      <c r="FI4"/>
    </row>
    <row r="5" spans="1:170">
      <c r="A5" s="100" t="s">
        <v>21</v>
      </c>
      <c r="B5" s="102" t="s">
        <v>67</v>
      </c>
      <c r="DC5" s="97"/>
      <c r="ET5" s="48"/>
      <c r="FE5" s="99"/>
      <c r="FH5" s="97"/>
      <c r="FI5"/>
    </row>
    <row r="6" spans="1:170">
      <c r="A6" s="40" t="s">
        <v>0</v>
      </c>
      <c r="DC6" s="97"/>
      <c r="FE6" s="99"/>
      <c r="FH6" s="97"/>
      <c r="FI6"/>
    </row>
    <row r="7" spans="1:170">
      <c r="DC7" s="97"/>
      <c r="FE7" s="99"/>
      <c r="FH7" s="97"/>
      <c r="FI7"/>
    </row>
    <row r="8" spans="1:170" ht="20.25">
      <c r="B8" s="45"/>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c r="BZ8" s="43"/>
      <c r="CA8" s="43"/>
      <c r="CB8" s="43"/>
      <c r="CC8" s="43"/>
      <c r="CD8" s="43"/>
      <c r="CE8" s="43"/>
      <c r="CF8" s="43"/>
      <c r="CG8" s="43"/>
      <c r="CH8" s="43"/>
      <c r="CI8" s="43"/>
      <c r="CJ8" s="43"/>
      <c r="CK8" s="43"/>
      <c r="CL8" s="56"/>
      <c r="CM8" s="56"/>
      <c r="CN8" s="43"/>
      <c r="CO8" s="43"/>
      <c r="CP8" s="43"/>
      <c r="CQ8" s="43"/>
      <c r="CR8" s="43"/>
      <c r="CS8" s="43"/>
      <c r="CT8" s="43"/>
      <c r="CU8" s="43"/>
      <c r="CV8" s="43"/>
      <c r="CW8" s="43"/>
      <c r="CX8" s="43"/>
      <c r="CY8" s="43"/>
      <c r="CZ8" s="43"/>
      <c r="DA8" s="43"/>
      <c r="DB8" s="43"/>
      <c r="DC8" s="76"/>
      <c r="DD8" s="43"/>
      <c r="DE8" s="43"/>
      <c r="DF8" s="43"/>
      <c r="DG8" s="43"/>
      <c r="DH8" s="43"/>
      <c r="DI8" s="43"/>
      <c r="DJ8" s="43"/>
      <c r="DK8" s="43"/>
      <c r="DL8" s="43"/>
      <c r="DM8" s="43"/>
      <c r="DN8" s="62"/>
      <c r="DO8" s="62"/>
      <c r="DP8" s="62"/>
      <c r="DQ8" s="62"/>
      <c r="DR8" s="43"/>
      <c r="DS8" s="43"/>
      <c r="DT8" s="43"/>
      <c r="DU8" s="43"/>
      <c r="DV8" s="43"/>
      <c r="DW8" s="43"/>
      <c r="DX8" s="43"/>
      <c r="DY8" s="43"/>
      <c r="DZ8" s="43"/>
      <c r="EA8" s="43"/>
      <c r="EB8" s="43"/>
      <c r="EC8" s="43"/>
      <c r="ED8" s="43"/>
      <c r="EE8" s="43"/>
      <c r="EF8" s="43"/>
      <c r="EG8" s="43"/>
      <c r="EH8" s="43"/>
      <c r="EI8" s="43"/>
      <c r="EJ8" s="43"/>
      <c r="EK8" s="43"/>
      <c r="EL8" s="43"/>
      <c r="EM8" s="43"/>
      <c r="EN8" s="43"/>
      <c r="EO8" s="43"/>
      <c r="EP8" s="43"/>
      <c r="EQ8" s="43"/>
      <c r="ER8" s="43"/>
      <c r="ES8" s="43"/>
      <c r="ET8" s="43"/>
      <c r="EU8" s="43"/>
      <c r="EV8" s="43"/>
      <c r="FE8" s="99"/>
      <c r="FH8" s="97"/>
      <c r="FI8"/>
    </row>
    <row r="9" spans="1:170" ht="18.75" thickBot="1">
      <c r="B9" s="712" t="s">
        <v>87</v>
      </c>
      <c r="C9" s="712" t="s">
        <v>23</v>
      </c>
      <c r="D9" s="688" t="s">
        <v>79</v>
      </c>
      <c r="E9" s="689"/>
      <c r="F9" s="689"/>
      <c r="G9" s="689"/>
      <c r="H9" s="689"/>
      <c r="I9" s="689"/>
      <c r="J9" s="689"/>
      <c r="K9" s="689"/>
      <c r="L9" s="689"/>
      <c r="M9" s="689"/>
      <c r="N9" s="689"/>
      <c r="O9" s="689"/>
      <c r="P9" s="689"/>
      <c r="Q9" s="689"/>
      <c r="R9" s="689"/>
      <c r="S9" s="689"/>
      <c r="T9" s="689"/>
      <c r="U9" s="689"/>
      <c r="V9" s="689"/>
      <c r="W9" s="689"/>
      <c r="X9" s="689"/>
      <c r="Y9" s="689"/>
      <c r="Z9" s="689"/>
      <c r="AA9" s="689"/>
      <c r="AB9" s="689"/>
      <c r="AC9" s="689"/>
      <c r="AD9" s="689"/>
      <c r="AE9" s="689"/>
      <c r="AF9" s="689"/>
      <c r="AG9" s="689"/>
      <c r="AH9" s="689"/>
      <c r="AI9" s="689"/>
      <c r="AJ9" s="689"/>
      <c r="AK9" s="689"/>
      <c r="AL9" s="689"/>
      <c r="AM9" s="689"/>
      <c r="AN9" s="689"/>
      <c r="AO9" s="689"/>
      <c r="AP9" s="689"/>
      <c r="AQ9" s="689"/>
      <c r="AR9" s="689"/>
      <c r="AS9" s="689"/>
      <c r="AT9" s="689"/>
      <c r="AU9" s="689"/>
      <c r="AV9" s="689"/>
      <c r="AW9" s="689"/>
      <c r="AX9" s="689"/>
      <c r="AY9" s="689"/>
      <c r="AZ9" s="689"/>
      <c r="BA9" s="689"/>
      <c r="BB9" s="689"/>
      <c r="BC9" s="689"/>
      <c r="BD9" s="689"/>
      <c r="BE9" s="690"/>
      <c r="BF9" s="707" t="s">
        <v>44</v>
      </c>
      <c r="BG9" s="708"/>
      <c r="BH9" s="708"/>
      <c r="BI9" s="708"/>
      <c r="BJ9" s="708"/>
      <c r="BK9" s="708"/>
      <c r="BL9" s="708"/>
      <c r="BM9" s="708"/>
      <c r="BN9" s="708"/>
      <c r="BO9" s="708"/>
      <c r="BP9" s="708"/>
      <c r="BQ9" s="708"/>
      <c r="BR9" s="708"/>
      <c r="BS9" s="708"/>
      <c r="BT9" s="708"/>
      <c r="BU9" s="708"/>
      <c r="BV9" s="708"/>
      <c r="BW9" s="708"/>
      <c r="BX9" s="708"/>
      <c r="BY9" s="708"/>
      <c r="BZ9" s="708"/>
      <c r="CA9" s="708"/>
      <c r="CB9" s="708"/>
      <c r="CC9" s="708"/>
      <c r="CD9" s="708"/>
      <c r="CE9" s="708"/>
      <c r="CF9" s="708"/>
      <c r="CG9" s="709"/>
      <c r="CH9" s="702" t="s">
        <v>80</v>
      </c>
      <c r="CI9" s="702"/>
      <c r="CJ9" s="702"/>
      <c r="CK9" s="702"/>
      <c r="CL9" s="702"/>
      <c r="CM9" s="702"/>
      <c r="CN9" s="702"/>
      <c r="CO9" s="702"/>
      <c r="CP9" s="702"/>
      <c r="CQ9" s="702"/>
      <c r="CR9" s="702"/>
      <c r="CS9" s="702"/>
      <c r="CT9" s="702"/>
      <c r="CU9" s="702"/>
      <c r="CV9" s="702"/>
      <c r="CW9" s="702"/>
      <c r="CX9" s="702"/>
      <c r="CY9" s="702"/>
      <c r="CZ9" s="702"/>
      <c r="DA9" s="702"/>
      <c r="DB9" s="702"/>
      <c r="DC9" s="703"/>
      <c r="DD9" s="688" t="s">
        <v>156</v>
      </c>
      <c r="DE9" s="689"/>
      <c r="DF9" s="689"/>
      <c r="DG9" s="689"/>
      <c r="DH9" s="689"/>
      <c r="DI9" s="689"/>
      <c r="DJ9" s="689"/>
      <c r="DK9" s="689"/>
      <c r="DL9" s="689"/>
      <c r="DM9" s="689"/>
      <c r="DN9" s="689"/>
      <c r="DO9" s="689"/>
      <c r="DP9" s="689"/>
      <c r="DQ9" s="689"/>
      <c r="DR9" s="689"/>
      <c r="DS9" s="689"/>
      <c r="DT9" s="689"/>
      <c r="DU9" s="689"/>
      <c r="DV9" s="689"/>
      <c r="DW9" s="690"/>
      <c r="DX9" s="691" t="s">
        <v>78</v>
      </c>
      <c r="DY9" s="688" t="s">
        <v>48</v>
      </c>
      <c r="DZ9" s="689"/>
      <c r="EA9" s="689"/>
      <c r="EB9" s="689"/>
      <c r="EC9" s="689"/>
      <c r="ED9" s="689"/>
      <c r="EE9" s="689"/>
      <c r="EF9" s="689"/>
      <c r="EG9" s="689"/>
      <c r="EH9" s="689"/>
      <c r="EI9" s="689"/>
      <c r="EJ9" s="689"/>
      <c r="EK9" s="689"/>
      <c r="EL9" s="689"/>
      <c r="EM9" s="689"/>
      <c r="EN9" s="689"/>
      <c r="EO9" s="689"/>
      <c r="EP9" s="689"/>
      <c r="EQ9" s="689"/>
      <c r="ER9" s="689"/>
      <c r="ES9" s="689"/>
      <c r="ET9" s="689"/>
      <c r="EU9" s="689"/>
      <c r="EV9" s="689"/>
      <c r="EW9" s="689"/>
      <c r="EX9" s="689"/>
      <c r="EY9" s="689"/>
      <c r="EZ9" s="689"/>
      <c r="FA9" s="689"/>
      <c r="FB9" s="689"/>
      <c r="FC9" s="689"/>
      <c r="FD9" s="690"/>
      <c r="FE9" s="160"/>
      <c r="FF9" s="161"/>
      <c r="FG9" s="161"/>
      <c r="FH9" s="162"/>
      <c r="FI9"/>
    </row>
    <row r="10" spans="1:170" ht="12.75" customHeight="1">
      <c r="B10" s="713"/>
      <c r="C10" s="713"/>
      <c r="D10" s="701" t="s">
        <v>69</v>
      </c>
      <c r="E10" s="701"/>
      <c r="F10" s="701"/>
      <c r="G10" s="701"/>
      <c r="H10" s="701"/>
      <c r="I10" s="701"/>
      <c r="J10" s="701" t="s">
        <v>70</v>
      </c>
      <c r="K10" s="701"/>
      <c r="L10" s="701"/>
      <c r="M10" s="701"/>
      <c r="N10" s="701" t="s">
        <v>71</v>
      </c>
      <c r="O10" s="701"/>
      <c r="P10" s="701"/>
      <c r="Q10" s="701"/>
      <c r="R10" s="701"/>
      <c r="S10" s="701"/>
      <c r="T10" s="701" t="s">
        <v>72</v>
      </c>
      <c r="U10" s="701"/>
      <c r="V10" s="701"/>
      <c r="W10" s="701"/>
      <c r="X10" s="701" t="s">
        <v>149</v>
      </c>
      <c r="Y10" s="701"/>
      <c r="Z10" s="701"/>
      <c r="AA10" s="701"/>
      <c r="AB10" s="701"/>
      <c r="AC10" s="701"/>
      <c r="AD10" s="701" t="s">
        <v>148</v>
      </c>
      <c r="AE10" s="701"/>
      <c r="AF10" s="701"/>
      <c r="AG10" s="701"/>
      <c r="AH10" s="701" t="s">
        <v>150</v>
      </c>
      <c r="AI10" s="701"/>
      <c r="AJ10" s="701"/>
      <c r="AK10" s="701"/>
      <c r="AL10" s="701"/>
      <c r="AM10" s="701"/>
      <c r="AN10" s="701" t="s">
        <v>151</v>
      </c>
      <c r="AO10" s="701"/>
      <c r="AP10" s="701"/>
      <c r="AQ10" s="701"/>
      <c r="AR10" s="701" t="s">
        <v>73</v>
      </c>
      <c r="AS10" s="701"/>
      <c r="AT10" s="701"/>
      <c r="AU10" s="701"/>
      <c r="AV10" s="701"/>
      <c r="AW10" s="701"/>
      <c r="AX10" s="701" t="s">
        <v>74</v>
      </c>
      <c r="AY10" s="701"/>
      <c r="AZ10" s="701"/>
      <c r="BA10" s="701"/>
      <c r="BB10" s="715" t="s">
        <v>249</v>
      </c>
      <c r="BC10" s="715" t="s">
        <v>200</v>
      </c>
      <c r="BD10" s="715" t="s">
        <v>249</v>
      </c>
      <c r="BE10" s="686" t="s">
        <v>200</v>
      </c>
      <c r="BF10" s="701" t="s">
        <v>153</v>
      </c>
      <c r="BG10" s="701"/>
      <c r="BH10" s="701"/>
      <c r="BI10" s="701"/>
      <c r="BJ10" s="704" t="s">
        <v>154</v>
      </c>
      <c r="BK10" s="704"/>
      <c r="BL10" s="704"/>
      <c r="BM10" s="704"/>
      <c r="BN10" s="701" t="s">
        <v>61</v>
      </c>
      <c r="BO10" s="701"/>
      <c r="BP10" s="701"/>
      <c r="BQ10" s="701"/>
      <c r="BR10" s="701" t="s">
        <v>62</v>
      </c>
      <c r="BS10" s="701"/>
      <c r="BT10" s="701"/>
      <c r="BU10" s="701"/>
      <c r="BV10" s="701" t="s">
        <v>63</v>
      </c>
      <c r="BW10" s="701"/>
      <c r="BX10" s="701"/>
      <c r="BY10" s="701"/>
      <c r="BZ10" s="701" t="s">
        <v>64</v>
      </c>
      <c r="CA10" s="701"/>
      <c r="CB10" s="701"/>
      <c r="CC10" s="701"/>
      <c r="CD10" s="682" t="s">
        <v>216</v>
      </c>
      <c r="CE10" s="668" t="s">
        <v>246</v>
      </c>
      <c r="CF10" s="668" t="s">
        <v>216</v>
      </c>
      <c r="CG10" s="672" t="s">
        <v>246</v>
      </c>
      <c r="CH10" s="678" t="s">
        <v>94</v>
      </c>
      <c r="CI10" s="681"/>
      <c r="CJ10" s="681"/>
      <c r="CK10" s="681"/>
      <c r="CL10" s="677" t="s">
        <v>248</v>
      </c>
      <c r="CM10" s="678"/>
      <c r="CN10" s="677" t="s">
        <v>93</v>
      </c>
      <c r="CO10" s="684"/>
      <c r="CP10" s="684"/>
      <c r="CQ10" s="678"/>
      <c r="CR10" s="681" t="s">
        <v>229</v>
      </c>
      <c r="CS10" s="681"/>
      <c r="CT10" s="681"/>
      <c r="CU10" s="681"/>
      <c r="CV10" s="681"/>
      <c r="CW10" s="681"/>
      <c r="CX10" s="681"/>
      <c r="CY10" s="681"/>
      <c r="CZ10" s="696" t="s">
        <v>243</v>
      </c>
      <c r="DA10" s="694" t="s">
        <v>244</v>
      </c>
      <c r="DB10" s="668" t="s">
        <v>243</v>
      </c>
      <c r="DC10" s="686" t="s">
        <v>244</v>
      </c>
      <c r="DD10" s="681" t="s">
        <v>121</v>
      </c>
      <c r="DE10" s="681"/>
      <c r="DF10" s="681"/>
      <c r="DG10" s="681"/>
      <c r="DH10" s="681" t="s">
        <v>117</v>
      </c>
      <c r="DI10" s="681"/>
      <c r="DJ10" s="681"/>
      <c r="DK10" s="681"/>
      <c r="DL10" s="681"/>
      <c r="DM10" s="681"/>
      <c r="DN10" s="677" t="s">
        <v>98</v>
      </c>
      <c r="DO10" s="684"/>
      <c r="DP10" s="684"/>
      <c r="DQ10" s="684"/>
      <c r="DR10" s="684"/>
      <c r="DS10" s="684"/>
      <c r="DT10" s="684"/>
      <c r="DU10" s="684"/>
      <c r="DV10" s="682" t="s">
        <v>171</v>
      </c>
      <c r="DW10" s="672" t="s">
        <v>172</v>
      </c>
      <c r="DX10" s="692"/>
      <c r="DY10" s="663" t="s">
        <v>49</v>
      </c>
      <c r="DZ10" s="664"/>
      <c r="EA10" s="664"/>
      <c r="EB10" s="665"/>
      <c r="EC10" s="663" t="s">
        <v>51</v>
      </c>
      <c r="ED10" s="664"/>
      <c r="EE10" s="664"/>
      <c r="EF10" s="665"/>
      <c r="EG10" s="663" t="s">
        <v>52</v>
      </c>
      <c r="EH10" s="664"/>
      <c r="EI10" s="664"/>
      <c r="EJ10" s="665"/>
      <c r="EK10" s="663" t="s">
        <v>53</v>
      </c>
      <c r="EL10" s="664"/>
      <c r="EM10" s="664"/>
      <c r="EN10" s="665"/>
      <c r="EO10" s="663" t="s">
        <v>54</v>
      </c>
      <c r="EP10" s="664"/>
      <c r="EQ10" s="664"/>
      <c r="ER10" s="665"/>
      <c r="ES10" s="666" t="s">
        <v>168</v>
      </c>
      <c r="ET10" s="666"/>
      <c r="EU10" s="666"/>
      <c r="EV10" s="666"/>
      <c r="EW10" s="667" t="s">
        <v>157</v>
      </c>
      <c r="EX10" s="667"/>
      <c r="EY10" s="667"/>
      <c r="EZ10" s="667"/>
      <c r="FA10" s="668" t="s">
        <v>235</v>
      </c>
      <c r="FB10" s="668" t="s">
        <v>236</v>
      </c>
      <c r="FC10" s="668" t="s">
        <v>238</v>
      </c>
      <c r="FD10" s="672" t="s">
        <v>237</v>
      </c>
      <c r="FE10" s="674" t="s">
        <v>239</v>
      </c>
      <c r="FF10" s="674" t="s">
        <v>167</v>
      </c>
      <c r="FG10" s="674" t="s">
        <v>240</v>
      </c>
      <c r="FH10" s="661" t="s">
        <v>167</v>
      </c>
      <c r="FI10"/>
    </row>
    <row r="11" spans="1:170" s="103" customFormat="1" ht="42" customHeight="1">
      <c r="B11" s="714"/>
      <c r="C11" s="714"/>
      <c r="D11" s="685" t="s">
        <v>41</v>
      </c>
      <c r="E11" s="685"/>
      <c r="F11" s="685" t="s">
        <v>250</v>
      </c>
      <c r="G11" s="685"/>
      <c r="H11" s="685" t="s">
        <v>13</v>
      </c>
      <c r="I11" s="685"/>
      <c r="J11" s="685" t="s">
        <v>250</v>
      </c>
      <c r="K11" s="685"/>
      <c r="L11" s="685" t="s">
        <v>13</v>
      </c>
      <c r="M11" s="685"/>
      <c r="N11" s="685" t="s">
        <v>41</v>
      </c>
      <c r="O11" s="685"/>
      <c r="P11" s="685" t="s">
        <v>250</v>
      </c>
      <c r="Q11" s="685"/>
      <c r="R11" s="685" t="s">
        <v>13</v>
      </c>
      <c r="S11" s="685"/>
      <c r="T11" s="685" t="s">
        <v>250</v>
      </c>
      <c r="U11" s="685"/>
      <c r="V11" s="685" t="s">
        <v>13</v>
      </c>
      <c r="W11" s="685"/>
      <c r="X11" s="685" t="s">
        <v>41</v>
      </c>
      <c r="Y11" s="685"/>
      <c r="Z11" s="685" t="s">
        <v>250</v>
      </c>
      <c r="AA11" s="685"/>
      <c r="AB11" s="685" t="s">
        <v>13</v>
      </c>
      <c r="AC11" s="685"/>
      <c r="AD11" s="685" t="s">
        <v>250</v>
      </c>
      <c r="AE11" s="685"/>
      <c r="AF11" s="685" t="s">
        <v>13</v>
      </c>
      <c r="AG11" s="685"/>
      <c r="AH11" s="685" t="s">
        <v>41</v>
      </c>
      <c r="AI11" s="685"/>
      <c r="AJ11" s="685" t="s">
        <v>250</v>
      </c>
      <c r="AK11" s="685"/>
      <c r="AL11" s="685" t="s">
        <v>13</v>
      </c>
      <c r="AM11" s="685"/>
      <c r="AN11" s="685" t="s">
        <v>250</v>
      </c>
      <c r="AO11" s="685"/>
      <c r="AP11" s="685" t="s">
        <v>13</v>
      </c>
      <c r="AQ11" s="685"/>
      <c r="AR11" s="685" t="s">
        <v>41</v>
      </c>
      <c r="AS11" s="685"/>
      <c r="AT11" s="685" t="s">
        <v>250</v>
      </c>
      <c r="AU11" s="685"/>
      <c r="AV11" s="685" t="s">
        <v>13</v>
      </c>
      <c r="AW11" s="685"/>
      <c r="AX11" s="685" t="s">
        <v>250</v>
      </c>
      <c r="AY11" s="685"/>
      <c r="AZ11" s="685" t="s">
        <v>13</v>
      </c>
      <c r="BA11" s="685"/>
      <c r="BB11" s="716"/>
      <c r="BC11" s="716"/>
      <c r="BD11" s="716"/>
      <c r="BE11" s="687"/>
      <c r="BF11" s="710">
        <v>2020</v>
      </c>
      <c r="BG11" s="711"/>
      <c r="BH11" s="710">
        <v>2025</v>
      </c>
      <c r="BI11" s="711"/>
      <c r="BJ11" s="701">
        <v>2020</v>
      </c>
      <c r="BK11" s="701"/>
      <c r="BL11" s="701">
        <v>2025</v>
      </c>
      <c r="BM11" s="701"/>
      <c r="BN11" s="701">
        <v>2020</v>
      </c>
      <c r="BO11" s="701"/>
      <c r="BP11" s="701">
        <v>2025</v>
      </c>
      <c r="BQ11" s="701"/>
      <c r="BR11" s="701">
        <v>2020</v>
      </c>
      <c r="BS11" s="701"/>
      <c r="BT11" s="701">
        <v>2025</v>
      </c>
      <c r="BU11" s="701"/>
      <c r="BV11" s="701">
        <v>2020</v>
      </c>
      <c r="BW11" s="701"/>
      <c r="BX11" s="701">
        <v>2025</v>
      </c>
      <c r="BY11" s="701"/>
      <c r="BZ11" s="667">
        <v>2020</v>
      </c>
      <c r="CA11" s="667"/>
      <c r="CB11" s="667">
        <v>2025</v>
      </c>
      <c r="CC11" s="667"/>
      <c r="CD11" s="683"/>
      <c r="CE11" s="669"/>
      <c r="CF11" s="669"/>
      <c r="CG11" s="673"/>
      <c r="CH11" s="678" t="s">
        <v>135</v>
      </c>
      <c r="CI11" s="681"/>
      <c r="CJ11" s="681"/>
      <c r="CK11" s="681"/>
      <c r="CL11" s="677" t="s">
        <v>179</v>
      </c>
      <c r="CM11" s="678"/>
      <c r="CN11" s="705">
        <v>2019</v>
      </c>
      <c r="CO11" s="706"/>
      <c r="CP11" s="705">
        <v>2025</v>
      </c>
      <c r="CQ11" s="706"/>
      <c r="CR11" s="705">
        <v>2020</v>
      </c>
      <c r="CS11" s="706"/>
      <c r="CT11" s="705">
        <v>2025</v>
      </c>
      <c r="CU11" s="706"/>
      <c r="CV11" s="705">
        <v>2020</v>
      </c>
      <c r="CW11" s="706"/>
      <c r="CX11" s="705">
        <v>2025</v>
      </c>
      <c r="CY11" s="706"/>
      <c r="CZ11" s="697"/>
      <c r="DA11" s="695"/>
      <c r="DB11" s="669"/>
      <c r="DC11" s="687"/>
      <c r="DD11" s="681" t="s">
        <v>47</v>
      </c>
      <c r="DE11" s="681"/>
      <c r="DF11" s="681" t="s">
        <v>77</v>
      </c>
      <c r="DG11" s="681"/>
      <c r="DH11" s="681" t="s">
        <v>100</v>
      </c>
      <c r="DI11" s="681"/>
      <c r="DJ11" s="681" t="s">
        <v>102</v>
      </c>
      <c r="DK11" s="681"/>
      <c r="DL11" s="681" t="s">
        <v>115</v>
      </c>
      <c r="DM11" s="681"/>
      <c r="DN11" s="685" t="s">
        <v>105</v>
      </c>
      <c r="DO11" s="685"/>
      <c r="DP11" s="681" t="s">
        <v>201</v>
      </c>
      <c r="DQ11" s="681"/>
      <c r="DR11" s="681" t="s">
        <v>109</v>
      </c>
      <c r="DS11" s="681"/>
      <c r="DT11" s="681" t="s">
        <v>110</v>
      </c>
      <c r="DU11" s="677"/>
      <c r="DV11" s="683"/>
      <c r="DW11" s="673"/>
      <c r="DX11" s="693"/>
      <c r="DY11" s="670">
        <v>2020</v>
      </c>
      <c r="DZ11" s="671"/>
      <c r="EA11" s="670">
        <v>2025</v>
      </c>
      <c r="EB11" s="671"/>
      <c r="EC11" s="670">
        <v>2020</v>
      </c>
      <c r="ED11" s="671"/>
      <c r="EE11" s="670">
        <v>2025</v>
      </c>
      <c r="EF11" s="671"/>
      <c r="EG11" s="679">
        <v>2020</v>
      </c>
      <c r="EH11" s="680"/>
      <c r="EI11" s="670">
        <v>2025</v>
      </c>
      <c r="EJ11" s="671"/>
      <c r="EK11" s="670">
        <v>2020</v>
      </c>
      <c r="EL11" s="671"/>
      <c r="EM11" s="670">
        <v>2025</v>
      </c>
      <c r="EN11" s="671"/>
      <c r="EO11" s="670">
        <v>2020</v>
      </c>
      <c r="EP11" s="671"/>
      <c r="EQ11" s="670">
        <v>2025</v>
      </c>
      <c r="ER11" s="671"/>
      <c r="ES11" s="679">
        <v>2020</v>
      </c>
      <c r="ET11" s="680"/>
      <c r="EU11" s="679">
        <v>2025</v>
      </c>
      <c r="EV11" s="680"/>
      <c r="EW11" s="679">
        <v>2020</v>
      </c>
      <c r="EX11" s="680"/>
      <c r="EY11" s="679">
        <v>2025</v>
      </c>
      <c r="EZ11" s="680"/>
      <c r="FA11" s="669"/>
      <c r="FB11" s="669"/>
      <c r="FC11" s="669"/>
      <c r="FD11" s="673"/>
      <c r="FE11" s="669"/>
      <c r="FF11" s="669"/>
      <c r="FG11" s="669"/>
      <c r="FH11" s="662"/>
      <c r="FI11"/>
    </row>
    <row r="12" spans="1:170" s="104" customFormat="1" ht="48.75" customHeight="1">
      <c r="B12" s="159"/>
      <c r="C12" s="105"/>
      <c r="D12" s="157" t="s">
        <v>42</v>
      </c>
      <c r="E12" s="157" t="s">
        <v>120</v>
      </c>
      <c r="F12" s="157" t="s">
        <v>43</v>
      </c>
      <c r="G12" s="157" t="s">
        <v>120</v>
      </c>
      <c r="H12" s="157" t="s">
        <v>43</v>
      </c>
      <c r="I12" s="157" t="s">
        <v>120</v>
      </c>
      <c r="J12" s="157" t="s">
        <v>43</v>
      </c>
      <c r="K12" s="157" t="s">
        <v>120</v>
      </c>
      <c r="L12" s="157" t="s">
        <v>43</v>
      </c>
      <c r="M12" s="157" t="s">
        <v>120</v>
      </c>
      <c r="N12" s="157" t="s">
        <v>42</v>
      </c>
      <c r="O12" s="157" t="s">
        <v>120</v>
      </c>
      <c r="P12" s="157" t="s">
        <v>43</v>
      </c>
      <c r="Q12" s="157" t="s">
        <v>120</v>
      </c>
      <c r="R12" s="157" t="s">
        <v>43</v>
      </c>
      <c r="S12" s="157" t="s">
        <v>120</v>
      </c>
      <c r="T12" s="157" t="s">
        <v>43</v>
      </c>
      <c r="U12" s="157" t="s">
        <v>120</v>
      </c>
      <c r="V12" s="157" t="s">
        <v>43</v>
      </c>
      <c r="W12" s="157" t="s">
        <v>120</v>
      </c>
      <c r="X12" s="157" t="s">
        <v>42</v>
      </c>
      <c r="Y12" s="157" t="s">
        <v>120</v>
      </c>
      <c r="Z12" s="157" t="s">
        <v>43</v>
      </c>
      <c r="AA12" s="157" t="s">
        <v>120</v>
      </c>
      <c r="AB12" s="157" t="s">
        <v>43</v>
      </c>
      <c r="AC12" s="157" t="s">
        <v>120</v>
      </c>
      <c r="AD12" s="157" t="s">
        <v>43</v>
      </c>
      <c r="AE12" s="157" t="s">
        <v>120</v>
      </c>
      <c r="AF12" s="157" t="s">
        <v>43</v>
      </c>
      <c r="AG12" s="157" t="s">
        <v>120</v>
      </c>
      <c r="AH12" s="157" t="s">
        <v>42</v>
      </c>
      <c r="AI12" s="157" t="s">
        <v>120</v>
      </c>
      <c r="AJ12" s="157" t="s">
        <v>43</v>
      </c>
      <c r="AK12" s="157" t="s">
        <v>120</v>
      </c>
      <c r="AL12" s="157" t="s">
        <v>43</v>
      </c>
      <c r="AM12" s="157" t="s">
        <v>120</v>
      </c>
      <c r="AN12" s="157" t="s">
        <v>43</v>
      </c>
      <c r="AO12" s="157" t="s">
        <v>120</v>
      </c>
      <c r="AP12" s="157" t="s">
        <v>43</v>
      </c>
      <c r="AQ12" s="157" t="s">
        <v>120</v>
      </c>
      <c r="AR12" s="157" t="s">
        <v>42</v>
      </c>
      <c r="AS12" s="157" t="s">
        <v>120</v>
      </c>
      <c r="AT12" s="157" t="s">
        <v>43</v>
      </c>
      <c r="AU12" s="157" t="s">
        <v>120</v>
      </c>
      <c r="AV12" s="157" t="s">
        <v>43</v>
      </c>
      <c r="AW12" s="157" t="s">
        <v>120</v>
      </c>
      <c r="AX12" s="157" t="s">
        <v>43</v>
      </c>
      <c r="AY12" s="157" t="s">
        <v>120</v>
      </c>
      <c r="AZ12" s="157" t="s">
        <v>43</v>
      </c>
      <c r="BA12" s="157" t="s">
        <v>120</v>
      </c>
      <c r="BB12" s="153">
        <v>2020</v>
      </c>
      <c r="BC12" s="153">
        <v>2020</v>
      </c>
      <c r="BD12" s="153">
        <v>2025</v>
      </c>
      <c r="BE12" s="158">
        <v>2025</v>
      </c>
      <c r="BF12" s="155" t="s">
        <v>155</v>
      </c>
      <c r="BG12" s="155" t="s">
        <v>120</v>
      </c>
      <c r="BH12" s="155" t="s">
        <v>155</v>
      </c>
      <c r="BI12" s="155" t="s">
        <v>120</v>
      </c>
      <c r="BJ12" s="155" t="s">
        <v>45</v>
      </c>
      <c r="BK12" s="155" t="s">
        <v>120</v>
      </c>
      <c r="BL12" s="155" t="s">
        <v>45</v>
      </c>
      <c r="BM12" s="155" t="s">
        <v>120</v>
      </c>
      <c r="BN12" s="155" t="s">
        <v>152</v>
      </c>
      <c r="BO12" s="155" t="s">
        <v>120</v>
      </c>
      <c r="BP12" s="155" t="s">
        <v>152</v>
      </c>
      <c r="BQ12" s="155" t="s">
        <v>120</v>
      </c>
      <c r="BR12" s="155" t="s">
        <v>152</v>
      </c>
      <c r="BS12" s="155" t="s">
        <v>120</v>
      </c>
      <c r="BT12" s="155" t="s">
        <v>152</v>
      </c>
      <c r="BU12" s="155" t="s">
        <v>120</v>
      </c>
      <c r="BV12" s="157" t="s">
        <v>247</v>
      </c>
      <c r="BW12" s="155" t="s">
        <v>120</v>
      </c>
      <c r="BX12" s="157" t="s">
        <v>247</v>
      </c>
      <c r="BY12" s="155" t="s">
        <v>120</v>
      </c>
      <c r="BZ12" s="155" t="s">
        <v>50</v>
      </c>
      <c r="CA12" s="155" t="s">
        <v>120</v>
      </c>
      <c r="CB12" s="155" t="s">
        <v>50</v>
      </c>
      <c r="CC12" s="155" t="s">
        <v>120</v>
      </c>
      <c r="CD12" s="149">
        <v>2020</v>
      </c>
      <c r="CE12" s="150">
        <v>2020</v>
      </c>
      <c r="CF12" s="150">
        <v>2025</v>
      </c>
      <c r="CG12" s="151">
        <v>2025</v>
      </c>
      <c r="CH12" s="148" t="s">
        <v>91</v>
      </c>
      <c r="CI12" s="156" t="s">
        <v>158</v>
      </c>
      <c r="CJ12" s="157" t="s">
        <v>92</v>
      </c>
      <c r="CK12" s="156" t="s">
        <v>178</v>
      </c>
      <c r="CL12" s="157" t="s">
        <v>202</v>
      </c>
      <c r="CM12" s="157" t="s">
        <v>203</v>
      </c>
      <c r="CN12" s="157" t="s">
        <v>85</v>
      </c>
      <c r="CO12" s="157" t="s">
        <v>245</v>
      </c>
      <c r="CP12" s="157" t="s">
        <v>85</v>
      </c>
      <c r="CQ12" s="157" t="s">
        <v>245</v>
      </c>
      <c r="CR12" s="157" t="s">
        <v>181</v>
      </c>
      <c r="CS12" s="157" t="s">
        <v>182</v>
      </c>
      <c r="CT12" s="157" t="s">
        <v>181</v>
      </c>
      <c r="CU12" s="157" t="s">
        <v>182</v>
      </c>
      <c r="CV12" s="157" t="s">
        <v>185</v>
      </c>
      <c r="CW12" s="157" t="s">
        <v>186</v>
      </c>
      <c r="CX12" s="157" t="s">
        <v>185</v>
      </c>
      <c r="CY12" s="157" t="s">
        <v>186</v>
      </c>
      <c r="CZ12" s="149">
        <v>2020</v>
      </c>
      <c r="DA12" s="150">
        <v>2020</v>
      </c>
      <c r="DB12" s="150">
        <v>2025</v>
      </c>
      <c r="DC12" s="151">
        <v>2025</v>
      </c>
      <c r="DD12" s="107" t="s">
        <v>96</v>
      </c>
      <c r="DE12" s="106" t="s">
        <v>160</v>
      </c>
      <c r="DF12" s="106" t="s">
        <v>104</v>
      </c>
      <c r="DG12" s="106" t="s">
        <v>161</v>
      </c>
      <c r="DH12" s="106" t="s">
        <v>99</v>
      </c>
      <c r="DI12" s="106" t="s">
        <v>162</v>
      </c>
      <c r="DJ12" s="106" t="s">
        <v>101</v>
      </c>
      <c r="DK12" s="106" t="s">
        <v>163</v>
      </c>
      <c r="DL12" s="106" t="s">
        <v>116</v>
      </c>
      <c r="DM12" s="106" t="s">
        <v>164</v>
      </c>
      <c r="DN12" s="107" t="s">
        <v>106</v>
      </c>
      <c r="DO12" s="106" t="s">
        <v>180</v>
      </c>
      <c r="DP12" s="106" t="s">
        <v>107</v>
      </c>
      <c r="DQ12" s="106" t="s">
        <v>165</v>
      </c>
      <c r="DR12" s="106" t="s">
        <v>111</v>
      </c>
      <c r="DS12" s="106" t="s">
        <v>166</v>
      </c>
      <c r="DT12" s="106" t="s">
        <v>114</v>
      </c>
      <c r="DU12" s="106" t="s">
        <v>242</v>
      </c>
      <c r="DV12" s="154" t="s">
        <v>159</v>
      </c>
      <c r="DW12" s="151" t="s">
        <v>167</v>
      </c>
      <c r="DX12" s="108" t="s">
        <v>103</v>
      </c>
      <c r="DY12" s="155" t="s">
        <v>50</v>
      </c>
      <c r="DZ12" s="156" t="s">
        <v>241</v>
      </c>
      <c r="EA12" s="155" t="s">
        <v>50</v>
      </c>
      <c r="EB12" s="156" t="s">
        <v>241</v>
      </c>
      <c r="EC12" s="155" t="s">
        <v>50</v>
      </c>
      <c r="ED12" s="156" t="s">
        <v>241</v>
      </c>
      <c r="EE12" s="155" t="s">
        <v>50</v>
      </c>
      <c r="EF12" s="156" t="s">
        <v>241</v>
      </c>
      <c r="EG12" s="155" t="s">
        <v>50</v>
      </c>
      <c r="EH12" s="156" t="s">
        <v>241</v>
      </c>
      <c r="EI12" s="155" t="s">
        <v>50</v>
      </c>
      <c r="EJ12" s="156" t="s">
        <v>241</v>
      </c>
      <c r="EK12" s="155" t="s">
        <v>50</v>
      </c>
      <c r="EL12" s="157" t="s">
        <v>169</v>
      </c>
      <c r="EM12" s="155" t="s">
        <v>50</v>
      </c>
      <c r="EN12" s="157" t="s">
        <v>170</v>
      </c>
      <c r="EO12" s="155" t="s">
        <v>50</v>
      </c>
      <c r="EP12" s="156" t="s">
        <v>241</v>
      </c>
      <c r="EQ12" s="155" t="s">
        <v>50</v>
      </c>
      <c r="ER12" s="156" t="s">
        <v>241</v>
      </c>
      <c r="ES12" s="155" t="s">
        <v>50</v>
      </c>
      <c r="ET12" s="156" t="s">
        <v>241</v>
      </c>
      <c r="EU12" s="155" t="s">
        <v>50</v>
      </c>
      <c r="EV12" s="156" t="s">
        <v>241</v>
      </c>
      <c r="EW12" s="155" t="s">
        <v>50</v>
      </c>
      <c r="EX12" s="156" t="s">
        <v>241</v>
      </c>
      <c r="EY12" s="155" t="s">
        <v>50</v>
      </c>
      <c r="EZ12" s="156" t="s">
        <v>241</v>
      </c>
      <c r="FA12" s="149">
        <v>2020</v>
      </c>
      <c r="FB12" s="150">
        <v>2020</v>
      </c>
      <c r="FC12" s="150">
        <v>2025</v>
      </c>
      <c r="FD12" s="151">
        <v>2025</v>
      </c>
      <c r="FE12" s="150">
        <v>2020</v>
      </c>
      <c r="FF12" s="150">
        <v>2020</v>
      </c>
      <c r="FG12" s="150">
        <v>2025</v>
      </c>
      <c r="FH12" s="152">
        <v>2025</v>
      </c>
      <c r="FI12"/>
    </row>
    <row r="13" spans="1:170">
      <c r="B13" s="676" t="s">
        <v>5</v>
      </c>
      <c r="C13" s="163" t="s">
        <v>147</v>
      </c>
      <c r="D13" s="164">
        <v>0</v>
      </c>
      <c r="E13" s="165">
        <f>IF((OR(D13&gt;$D$45,D13=$D$45)),$C$45,IF((AND(D13&lt;$D$44,D13&gt;$D$43)),$C$44,IF((OR(D13=$D$43,AND(D13&lt;$D$43,D13&gt;$D$42))),$C$43,IF((OR(D13=$D$42,AND(D13&lt;$D$42,D13&gt;$D$41))),$C$42,IF((OR(D13=$D$41,D13&lt;$D$41)),$C$41)))))</f>
        <v>1</v>
      </c>
      <c r="F13" s="166">
        <v>0</v>
      </c>
      <c r="G13" s="165">
        <f>IF((OR(F13&gt;$F$45,F13=$F$45)),$C$45,IF((AND(F13&lt;$F$44,F13&gt;$F$43)),$C$44,IF((OR(F13=$F$43,AND(F13&lt;$F$43,F13&gt;$F$42))),$C$43,IF((OR(F13=$F$42,AND(F13&lt;$F$42,F13&gt;$F$41))),$C$42,IF((OR(F13=$F$41,F13&lt;$F$41)),$C$41)))))</f>
        <v>1</v>
      </c>
      <c r="H13" s="166">
        <v>0</v>
      </c>
      <c r="I13" s="165">
        <f>IF((OR(H13&gt;$H$45,H13=$H$45)),$C$45,IF((AND(H13&lt;$H$44,H13&gt;$H$43)),$C$44,IF((OR(H13=$H$43,AND(H13&lt;$H$43,H13&gt;$H$42))),$C$43,IF((OR(H13=$H$42,AND(H13&lt;$H$42,H13&gt;$H$41))),$C$42,IF((OR(H13=$H$41,H13&lt;$H$41)),$C$41)))))</f>
        <v>1</v>
      </c>
      <c r="J13" s="166">
        <v>0</v>
      </c>
      <c r="K13" s="165">
        <f>IF((OR(J13&gt;$J$45,J13=$J$45)),$C$45,IF((AND(J13&lt;$J$44,J13&gt;$J$43)),$C$44,IF((OR(J13=$J$43,AND(J13&lt;$J$43,J13&gt;$J$42))),$C$43,IF((OR(J13=$J$42,AND(J13&lt;$J$42,J13&gt;$J$41))),$C$42,IF((OR(J13=$J$41,J13&lt;$J$41)),$C$41)))))</f>
        <v>1</v>
      </c>
      <c r="L13" s="166">
        <v>0</v>
      </c>
      <c r="M13" s="165">
        <f>IF((OR(L13&gt;$L$45,L13=$L$45)),$C$45,IF((AND(L13&lt;$L$44,L13&gt;$L$43)),$C$44,IF((OR(L13=$L$43,AND(L13&lt;$L$43,L13&gt;$L$42))),$C$43,IF((OR(L13=$L$42,AND(L13&lt;$L$42,L13&gt;$L$41))),$C$42,IF((OR(L13=$L$41,L13&lt;$L$41)),$C$41)))))</f>
        <v>1</v>
      </c>
      <c r="N13" s="166">
        <v>0</v>
      </c>
      <c r="O13" s="165">
        <f>IF((OR(N13&gt;$N$45,N13=$N$45)),$C$45,IF((AND(N13&lt;$N$44,N13&gt;$N$43)),$C$44,IF((OR(N13=$N$43,AND(N13&lt;$N$43,N13&gt;$N$42))),$C$43,IF((OR(N13=$N$42,AND(N13&lt;$N$42,N13&gt;$N$41))),$C$42,IF((OR(N13=$N$41,N13&lt;$N$41)),$C$41)))))</f>
        <v>1</v>
      </c>
      <c r="P13" s="166">
        <v>0</v>
      </c>
      <c r="Q13" s="165">
        <f>IF((OR(P13&gt;$P$45,P13=$P$45)),$C$45,IF((AND(P13&lt;$P$44,P13&gt;$P$43)),$C$44,IF((OR(P13=$P$43,AND(P13&lt;$P$43,P13&gt;$P$42))),$C$43,IF((OR(P13=$P$42,AND(P13&lt;$P$42,P13&gt;$P$41))),$C$42,IF((OR(P13=$P$41,P13&lt;$P$41)),$C$41)))))</f>
        <v>1</v>
      </c>
      <c r="R13" s="166">
        <v>0</v>
      </c>
      <c r="S13" s="165">
        <f>IF((OR(R13&gt;$R$44,R13=$R$45)),$C$45,IF((AND(R13&lt;$R$44,R13&gt;$R$43)),$C$44,IF((OR(R13=$R$43,AND(R13&lt;$R$43,R13&gt;$R$42))),$C$43,IF((OR(R13=$R$42,AND(R13&lt;$R$42,R13&gt;$R$41))),$C$42,IF((OR(R13=$R$41,R13&lt;$R$41)),$C$41)))))</f>
        <v>1</v>
      </c>
      <c r="T13" s="166">
        <v>0</v>
      </c>
      <c r="U13" s="165">
        <f>IF((OR(T13&gt;$T$45,T13=$T$45)),$C$45,IF((AND(T13&lt;$T$44,T13&gt;$T$43)),$C$44,IF((OR(T13=$T$43,AND(T13&lt;$T$43,T13&gt;$T$42))),$C$43,IF((OR(T13=$T$42,AND(T13&lt;$T$42,T13&gt;$T$41))),$C$42,IF((OR(T13=$T$41,T13&lt;$T$41)),$C$41)))))</f>
        <v>1</v>
      </c>
      <c r="V13" s="166">
        <v>0</v>
      </c>
      <c r="W13" s="165">
        <f>IF((OR(V13&gt;$V$45,V13=$V$45)),$C$45,IF((AND(V13&lt;$V$44,V13&gt;$V$43)),$C$44,IF((OR(V13=$V$43,AND(V13&lt;$V$43,V13&gt;$V$42))),$C$43,IF((OR(V13=$V$42,AND(V13&lt;$V$42,V13&gt;$V$41))),$C$42,IF((OR(V13=$V$41,V13&lt;$V$41)),$C$41)))))</f>
        <v>1</v>
      </c>
      <c r="X13" s="166">
        <v>0</v>
      </c>
      <c r="Y13" s="165">
        <f>IF((OR(X13&gt;$X$45,X13=$X$45)),$C$45,IF((AND(X13&lt;$X$44,X13&gt;$X$43)),$C$44,IF((OR(X13=$X$43,AND(X13&lt;$X$43,X13&gt;$X$42))),$C$43,IF((OR(X13=$X$42,AND(X13&lt;$X$42,X13&gt;$X$41))),$C$42,IF((OR(X13=$X$41,X13&lt;$X$41)),$C$41)))))</f>
        <v>1</v>
      </c>
      <c r="Z13" s="166">
        <v>0</v>
      </c>
      <c r="AA13" s="165">
        <f>IF((OR(Z13&gt;$Z$45,Z13=$Z$45)),$C$45,IF((AND(Z13&lt;$Z$44,Z13&gt;$Z$43)),$C$44,IF((OR(Z13=$Z$43,AND(Z13&lt;$Z$43,Z13&gt;$Z$42))),$C$43,IF((OR(Z13=$Z$42,AND(Z13&lt;$Z$42,Z13&gt;$Z$41))),$C$42,IF((OR(Z13=$Z$41,Z13&lt;$Z$41)),$C$41)))))</f>
        <v>1</v>
      </c>
      <c r="AB13" s="166">
        <v>0</v>
      </c>
      <c r="AC13" s="165">
        <f>IF((OR(AB13&gt;$AB$45,AB13=$AB$45)),$C$45,IF((AND(AB13&lt;$AB$44,AB13&gt;$AB$43)),$C$44,IF((OR(AB13=$AB$43,AND(AB13&lt;$AB$43,AB13&gt;$AB$42))),$C$43,IF((OR(AB13=$AB$42,AND(AB13&lt;$AB$42,AB13&gt;$AB$41))),$C$42,IF((OR(AB13=$AB$41,AB13&lt;$AB$41)),$C$41)))))</f>
        <v>1</v>
      </c>
      <c r="AD13" s="166">
        <v>0</v>
      </c>
      <c r="AE13" s="165">
        <f>IF((OR(AD13&gt;$AD$45,AD13=$AD$45)),$C$45,IF((AND(AD13&lt;$AD$44,AD13&gt;$AD$43)),$C$44,IF((OR(AD13=$AD$43,AND(AD13&lt;$AD$43,AD13&gt;$AD$42))),$C$43,IF((OR(AD13=$AD$42,AND(AD13&lt;$AD$42,AD13&gt;$AD$41))),$C$42,IF((OR(AD13=$AD$41,AD13&lt;$AD$41)),$C$41)))))</f>
        <v>1</v>
      </c>
      <c r="AF13" s="166">
        <v>0</v>
      </c>
      <c r="AG13" s="165">
        <f>IF((OR(AF13&gt;$AF$45,AF13=$AF$45)),$C$45,IF((AND(AF13&lt;$AF$44,AF13&gt;$AF$43)),$C$44,IF((OR(AF13=$AF$43,AND(AF13&lt;$AF$43,AF13&gt;$AF$42))),$C$43,IF((OR(AF13=$AF$42,AND(AF13&lt;$AF$42,AF13&gt;$AF$41))),$C$42,IF((OR(AF13=$AF$41,AF13&lt;$AF$41)),$C$41)))))</f>
        <v>1</v>
      </c>
      <c r="AH13" s="166">
        <v>0</v>
      </c>
      <c r="AI13" s="165">
        <f>IF((OR(AH13&gt;$AH$45,AH13=$AH$45)),$C$45,IF((AND(AH13&lt;$AH$44,AH13&gt;$AH$43)),$C$44,IF((OR(AH13=$AH$43,AND(AH13&lt;$AH$43,AH13&gt;$AH$42))),$C$43,IF((OR(AH13=$AH$42,AND(AH13&lt;$AH$42,AH13&gt;$AH$41))),$C$42,IF((OR(AH13=$AH$41,AH13&lt;$AH$41)),$C$41)))))</f>
        <v>1</v>
      </c>
      <c r="AJ13" s="166">
        <v>0</v>
      </c>
      <c r="AK13" s="165">
        <f>IF((OR(AJ13&gt;$AJ$45,AJ13=$AJ$45)),$C$45,IF((AND(AJ13&lt;$AJ$44,AJ13&gt;$AJ$43)),$C$44,IF((OR(AJ13=$AJ$43,AND(AJ13&lt;$AJ$43,AJ13&gt;$AJ$42))),$C$43,IF((OR(AJ13=$AJ$42,AND(AJ13&lt;$AJ$42,AJ13&gt;$AJ$41))),$C$42,IF((OR(AJ13=$AJ$41,AJ13&lt;$AJ$41)),$C$41)))))</f>
        <v>1</v>
      </c>
      <c r="AL13" s="166">
        <v>0</v>
      </c>
      <c r="AM13" s="165">
        <f>IF((OR(AL13&gt;$AL$45,AL13=$AL$45)),$C$45,IF((AND(AL13&lt;$AL$44,AL13&gt;$AL$43)),$C$44,IF((OR(AL13=$AL$43,AND(AL13&lt;$AL$43,AL13&gt;$AL$42))),$C$43,IF((OR(AL13=$AL$42,AND(AL13&lt;$AL$42,AL13&gt;$AL$41))),$C$42,IF((OR(AL13=$AL$41,AL13&lt;$AL$41)),$C$41)))))</f>
        <v>1</v>
      </c>
      <c r="AN13" s="166">
        <v>0</v>
      </c>
      <c r="AO13" s="165">
        <f>IF((OR(AN13&gt;$AN$45,AN13=$AN$45)),$C$45,IF((AND(AN13&lt;$AN$44,AN13&gt;$AN$43)),$C$44,IF((OR(AN13=$AN$43,AND(AN13&lt;$AN$43,AN13&gt;$AN$42))),$C$43,IF((OR(AN13=$AN$42,AND(AN13&lt;$AN$42,AN13&gt;$AN$41))),$C$42,IF((OR(AN13=$AN$41,AN13&lt;$AN$41)),$C$41)))))</f>
        <v>1</v>
      </c>
      <c r="AP13" s="166">
        <v>0</v>
      </c>
      <c r="AQ13" s="165">
        <f>IF((OR(AP13&gt;$AP$45,AP13=$AP$45)),$C$45,IF((AND(AP13&lt;$AP$44,AP13&gt;$AP$43)),$C$44,IF((OR(AP13=$AP$43,AND(AP13&lt;$AP$43,AP13&gt;$AP$42))),$C$43,IF((OR(AP13=$AP$42,AND(AP13&lt;$AP$42,AP13&gt;$AP$41))),$C$42,IF((OR(AP13=$AP$41,AP13&lt;$AP$41)),$C$41)))))</f>
        <v>1</v>
      </c>
      <c r="AR13" s="166">
        <v>0</v>
      </c>
      <c r="AS13" s="165">
        <f>IF((OR(AR13&gt;$AR$45,AR13=$AR$45)),$C$45,IF((AND(AR13&lt;$AR$44,AR13&gt;$AR$43)),$C$44,IF((OR(AR13=$AR$43,AND(AR13&lt;$AR$43,AR13&gt;$AR$42))),$C$43,IF((OR(AR13=$AR$42,AND(AR13&lt;$AR$42,AR13&gt;$AR$41))),$C$42,IF((OR(AR13=$AR$41,AR13&lt;$AR$41)),$C$41)))))</f>
        <v>1</v>
      </c>
      <c r="AT13" s="166">
        <v>0</v>
      </c>
      <c r="AU13" s="165">
        <f>IF((OR(AT13&gt;$AT$45,AT13=$AT$45)),$C$45,IF((AND(AT13&lt;$AT$44,AT13&gt;$AT$43)),$C$44,IF((OR(AT13=$AT$43,AND(AT13&lt;$AT$43,AT13&gt;$AT$42))),$C$43,IF((OR(AT13=$AT$42,AND(AT13&lt;$AT$42,AT13&gt;$AT$41))),$C$42,IF((OR(AT13=$AT$41,AT13&lt;$AT$41)),$C$41)))))</f>
        <v>1</v>
      </c>
      <c r="AV13" s="166">
        <v>16</v>
      </c>
      <c r="AW13" s="165">
        <f>IF((OR(AV13&gt;$AV$45,AV13=$AV$45)),$C$45,IF((AND(AV13&lt;$AV$44,AV13&gt;$AV$43)),$C$44,IF((OR(AV13=$AV$43,AND(AV13&lt;$AV$43,AV13&gt;$AV$42))),$C$43,IF((OR(AV13=$AV$42,AND(AV13&lt;$AV$42,AV13&gt;$AV$41))),$C$42,IF((OR(AV13=$AV$41,AV13&lt;$AV$41)),$C$41)))))</f>
        <v>2</v>
      </c>
      <c r="AX13" s="166">
        <v>0</v>
      </c>
      <c r="AY13" s="165">
        <f>IF((OR(AX13&gt;$AX$45,AX13=$AX$45)),$C$45,IF((AND(AX13&lt;$AX$44,AX13&gt;$AX$43)),$C$44,IF((OR(AX13=$AX$43,AND(AX13&lt;$AX$43,AX13&gt;$AX$42))),$C$43,IF((OR(AX13=$AX$42,AND(AX13&lt;$AX$42,AX13&gt;$AX$41))),$C$42,IF((OR(AX13=$AX$41,AX13&lt;$AX$41)),$C$41)))))</f>
        <v>1</v>
      </c>
      <c r="AZ13" s="166">
        <v>16</v>
      </c>
      <c r="BA13" s="165">
        <f>IF((OR(AZ13&gt;$AZ$45,AZ13=$AZ$45)),$C$45,IF((AND(AZ13&lt;$AZ$44,AZ13&gt;$AZ$43)),$C$44,IF((OR(AZ13=$AZ$43,AND(AZ13&lt;$AZ$43,AZ13&gt;$AZ$42))),$C$43,IF((OR(AZ13=$AZ$42,AND(AZ13&lt;$AZ$42,AZ13&gt;$AZ$41))),$C$42,IF((OR(AZ13=$AZ$41,AZ13&lt;$AZ$41)),$C$41)))))</f>
        <v>2</v>
      </c>
      <c r="BB13" s="216">
        <f>AVERAGE(SUM(AW13,AU13,AS13)*$C$58,SUM(AM13,AK13,AI13)*$C$59,SUM(AC13,AA13,Y13)*$C$57,SUM(S13,Q13,O13)*$C$56,SUM(I13,G13,E13)*$C$55)</f>
        <v>0.64</v>
      </c>
      <c r="BC13" s="168">
        <f>RANK(BB13,$BB$13:$BB$37,0)</f>
        <v>17</v>
      </c>
      <c r="BD13" s="216">
        <f>AVERAGE(SUM(BA13,AY13)*$C$58,SUM(AQ13,AO13)*$C$59,SUM(AG13,AE13)*$C$57,SUM(W13,U13)*$C$56,SUM(M13,K13)*$C$55)</f>
        <v>0.43999999999999995</v>
      </c>
      <c r="BE13" s="169">
        <f>RANK(BD13,$BD$13:$BD$37,0)</f>
        <v>20</v>
      </c>
      <c r="BF13" s="170">
        <v>0</v>
      </c>
      <c r="BG13" s="171">
        <f>IF((OR(BF13&gt;$BF$45,BF13=$BF$45)),$C$45,IF((AND(BF13&lt;$BF$45,BF13&gt;$BF$44)),$C$44,IF((OR(BF13=$BF$43,AND(BF13&lt;$BF$43,BF13&gt;$BF$42))),$C$43,IF((OR(BF13=$BF$42,AND(BF13&lt;$BF$42,BF13&gt;$BF$41))),$C$42,IF((OR(BF13=$BF$41,BF13&lt;$BF$41)),$C$41)))))</f>
        <v>1</v>
      </c>
      <c r="BH13" s="172">
        <v>0</v>
      </c>
      <c r="BI13" s="171">
        <f>IF((OR(BH13&gt;$BH$45,BH13=$BH$45)),$C$45,IF((AND(BH13&lt;$BH$44,BH13&gt;$BH$43)),$C$44,IF((OR(BH13=$BH$43,AND(BH13&lt;$BH$43,BH13&gt;$BH$42))),$C$43,IF((OR(BH13=$BH$42,AND(BH13&lt;$BH$42,BH13&gt;$BH$41))),$C$42,IF((OR(BH13=$BH$41,BH13&lt;$BH$41)),$C$41)))))</f>
        <v>1</v>
      </c>
      <c r="BJ13" s="172">
        <v>0</v>
      </c>
      <c r="BK13" s="171">
        <f>IF((OR(BJ13&gt;$BJ$44,BJ13=$BJ$45)),$C$45,IF((AND(BJ13&lt;$BJ$44,BJ13&gt;$BJ$43)),$C$44,IF((OR(BJ13=$BJ$43,AND(BJ13&lt;$BJ$43,BJ13&gt;$BJ$42))),$C$43,IF((OR(BJ13=$BJ$42,AND(BJ13&lt;$BJ$42,BJ13&gt;$BJ$41))),$C$42,IF((OR(BJ13=$BJ$41,BJ13&lt;$BJ$41)),$C$41)))))</f>
        <v>1</v>
      </c>
      <c r="BL13" s="172">
        <v>20000</v>
      </c>
      <c r="BM13" s="171">
        <f>IF((OR(BL13&gt;$BL$45,BL13=$BL$45)),$C$45,IF((AND(BL13&lt;$BL$44,BL13&gt;$BL$43)),$C$44,IF((OR(BL13=$BL$43,AND(BL13&lt;$BL$43,BL13&gt;$BL$42))),$C$43,IF((OR(BL13=$BL$42,AND(BL13&lt;$BL$42,BL13&gt;$BL$41))),$C$42,IF((OR(BL13=$BL$41,BL13&lt;$BL$41)),$C$41)))))</f>
        <v>2</v>
      </c>
      <c r="BN13" s="172">
        <v>0</v>
      </c>
      <c r="BO13" s="171">
        <f>IF((OR(BN13&gt;$BN$45,BN13=$BN$45)),$C$45,IF((AND(BN13&lt;$BN$44,BN13&gt;$BN$43)),$C$44,IF((OR(BN13=$BN$43,AND(BN13&lt;$BN$43,BN13&gt;$BN$42))),$C$43,IF((OR(BN13=$BN$42,AND(BN13&lt;$BN$42,BN13&gt;$BN$41))),$C$42,IF((OR(BN13=$BN$41,BN13&lt;$BN$41)),$C$41)))))</f>
        <v>1</v>
      </c>
      <c r="BP13" s="172">
        <v>0</v>
      </c>
      <c r="BQ13" s="171">
        <f>IF((OR(BP13&gt;$BP$45,BP13=$BP$45)),$C$45,IF((AND(BP13&lt;$BP$44,BP13&gt;$BP$43)),$C$44,IF((OR(BP13=$BP$43,AND(BP13&lt;$BP$43,BP13&gt;$BP$42))),$C$43,IF((OR(BP13=$BP$42,AND(BP13&lt;$BP$42,BP13&gt;$BP$41))),$C$42,IF((OR(BP13=$BP$41,BP13&lt;$BP$41)),$C$41)))))</f>
        <v>1</v>
      </c>
      <c r="BR13" s="172">
        <v>0</v>
      </c>
      <c r="BS13" s="171">
        <f>IF((OR(BR13&gt;$BR$45,BR13=$BR$45)),$C$45,IF((AND(BR13&lt;$BR$44,BR13&gt;$BR$43)),$C$44,IF((OR(BR13=$BR$43,AND(BR13&lt;$BR$43,BR13&gt;$BR$42))),$C$43,IF((OR(BR13=$BR$42,AND(BR13&lt;$BR$42,BR13&gt;$BR$41))),$C$42,IF((OR(BR13=$BR$41,BR13&lt;$BR$41)),$C$41)))))</f>
        <v>1</v>
      </c>
      <c r="BT13" s="172">
        <v>0</v>
      </c>
      <c r="BU13" s="171">
        <f>IF((OR(BT13&gt;$BT$45,BT13=$BT$45)),$C$45,IF((AND(BT13&lt;$BT$44,BT13&gt;$BT$43)),$C$44,IF((OR(BT13=$BT$43,AND(BT13&lt;$BT$43,BT13&gt;$BT$42))),$C$43,IF((OR(BT13=$BT$42,AND(BT13&lt;$BT$42,BT13&gt;$BT$41))),$C$42,IF((OR(BT13=$BT$41,BT13&lt;$BT$41)),$C$41)))))</f>
        <v>1</v>
      </c>
      <c r="BV13" s="172">
        <v>0</v>
      </c>
      <c r="BW13" s="171">
        <f>IF((OR(BV13&gt;$BV$45,BV13=$BV$45)),$C$45,IF((AND(BV13&lt;$BV$44,BV13&gt;$BV$43)),$C$44,IF((OR(BV13=$BV$43,AND(BV13&lt;$BV$43,BV13&gt;$BV$42))),$C$43,IF((OR(BV13=$BV$42,AND(BV13&lt;$BV$42,BV13&gt;$BV$41))),$C$42,IF((OR(BV13=$BV$41,BV13&lt;$BV$41)),$C$41)))))</f>
        <v>1</v>
      </c>
      <c r="BX13" s="172">
        <v>0</v>
      </c>
      <c r="BY13" s="171">
        <f>IF((OR(BX13&gt;$BX$45,BX13=$BX$45)),$C$45,IF((AND(BX13&lt;$BX$44,BX13&gt;$BX$43)),$C$44,IF((OR(BX13=$BX$43,AND(BX13&lt;$BX$43,BX13&gt;$BX$42))),$C$43,IF((OR(BX13=$BX$42,AND(BX13&lt;$BX$42,BX13&gt;$BX$41))),$C$42,IF((OR(BX13=$BX$41,BX13&lt;$BX$41)),$C$41)))))</f>
        <v>1</v>
      </c>
      <c r="BZ13" s="167">
        <v>1</v>
      </c>
      <c r="CA13" s="171">
        <f>IF((OR(BZ13&gt;$BZ$45,BZ13=$BZ$45)),$C$45,IF((AND(BZ13&lt;$BZ$44,BZ13&gt;$BZ$43)),$C$44,IF((OR(BZ13=$BZ$43,AND(BZ13&lt;$BZ$43,BZ13&gt;$BZ$42))),$C$43,IF((OR(BZ13=$BZ$42,AND(BZ13&lt;$BZ$42,BZ13&gt;$BZ$41))),$C$42,IF((OR(BZ13=$BZ$41,BZ13&lt;$BZ$41)),$C$41)))))</f>
        <v>2</v>
      </c>
      <c r="CB13" s="167">
        <v>1</v>
      </c>
      <c r="CC13" s="171">
        <f>IF((OR(CB13&gt;$CB$45,CB13=$CB$45)),$C$45,IF((AND(CB13&lt;$CB$44,CB13&gt;$CB$43)),$C$44,IF((OR(CB13=$CB$43,AND(CB13&lt;$CB$43,CB13&gt;$CB$42))),$C$43,IF((OR(CB13=$CB$42,AND(CB13&lt;$CB$42,CB13&gt;$CB$41))),$C$42,IF((OR(CB13=$CB$41,CB13&lt;$CB$41)),$C$41)))))</f>
        <v>1</v>
      </c>
      <c r="CD13" s="167">
        <f>AVERAGE(CA13,BW13,BS13,BO13,BK13,BG13)</f>
        <v>1.1666666666666667</v>
      </c>
      <c r="CE13" s="168">
        <f>RANK(CD13,$CD$13:$CD$37,0)</f>
        <v>10</v>
      </c>
      <c r="CF13" s="167">
        <f>AVERAGE(CC13,BY13,BU13,BQ13,BM13,BI13)</f>
        <v>1.1666666666666667</v>
      </c>
      <c r="CG13" s="169">
        <f>RANK(CF13,$CF$13:$CF$37,0)</f>
        <v>12</v>
      </c>
      <c r="CH13" s="167">
        <v>1.66</v>
      </c>
      <c r="CI13" s="171">
        <f>RANK(CH13,$CH$13:$CH$37,1)</f>
        <v>9</v>
      </c>
      <c r="CJ13" s="167">
        <v>1.8</v>
      </c>
      <c r="CK13" s="171">
        <f>RANK(CJ13,$CJ$13:$CJ$37,1)</f>
        <v>10</v>
      </c>
      <c r="CL13" s="167">
        <v>1</v>
      </c>
      <c r="CM13" s="171">
        <f>RANK(CL13,$CL$13:$CL$37,0)</f>
        <v>24</v>
      </c>
      <c r="CN13" s="167">
        <v>394</v>
      </c>
      <c r="CO13" s="171">
        <f>RANK(CN13,$CN$13:$CN$37,1)</f>
        <v>10</v>
      </c>
      <c r="CP13" s="167">
        <v>288</v>
      </c>
      <c r="CQ13" s="171">
        <f>RANK(CP13,$CP$13:$CP$37,1)</f>
        <v>11</v>
      </c>
      <c r="CR13" s="167">
        <v>68.3</v>
      </c>
      <c r="CS13" s="171">
        <f>RANK(CR13,$CR$13:$CR$37,0)</f>
        <v>11</v>
      </c>
      <c r="CT13" s="167">
        <f>3.8+CR13</f>
        <v>72.099999999999994</v>
      </c>
      <c r="CU13" s="171">
        <f>RANK(CT13,$CT$13:$CT$37,0)</f>
        <v>11</v>
      </c>
      <c r="CV13" s="167">
        <v>26.7</v>
      </c>
      <c r="CW13" s="171">
        <f>RANK(CV13,$CV$13:$CV$37,0)</f>
        <v>18</v>
      </c>
      <c r="CX13" s="167">
        <v>23.7</v>
      </c>
      <c r="CY13" s="171">
        <f>RANK(CX13,$CX$13:$CX$37,0)</f>
        <v>16</v>
      </c>
      <c r="CZ13" s="167">
        <f t="shared" ref="CZ13:CZ37" si="0">AVERAGE(CW13,CS13,CO13,CM13,CI13)</f>
        <v>14.4</v>
      </c>
      <c r="DA13" s="168">
        <f>RANK(CZ13,$CZ$13:$CZ$37,1)</f>
        <v>17</v>
      </c>
      <c r="DB13" s="167">
        <f>AVERAGE(CY13,CU13,CQ13,CM13,CK13)</f>
        <v>14.4</v>
      </c>
      <c r="DC13" s="169">
        <f t="shared" ref="DC13:DC37" si="1">RANK(DB13,$DB$13:$DB$37,1)</f>
        <v>17</v>
      </c>
      <c r="DD13" s="173">
        <v>84.74</v>
      </c>
      <c r="DE13" s="171">
        <f>RANK(DD13,$DD$13:$DD$37,1)</f>
        <v>10</v>
      </c>
      <c r="DF13" s="167">
        <v>3.68</v>
      </c>
      <c r="DG13" s="171">
        <f>RANK(DF13,$DF$13:$DF$37,0)</f>
        <v>10</v>
      </c>
      <c r="DH13" s="174">
        <v>1.9300000000000001E-2</v>
      </c>
      <c r="DI13" s="171">
        <f>RANK(DH13,$DH$13:$DH$37,0)</f>
        <v>9</v>
      </c>
      <c r="DJ13" s="175">
        <v>0.23899999999999999</v>
      </c>
      <c r="DK13" s="171">
        <f>RANK(DJ13,$DJ$13:$DJ$37,0)</f>
        <v>14</v>
      </c>
      <c r="DL13" s="167">
        <v>35.1</v>
      </c>
      <c r="DM13" s="171">
        <f>RANK(DL13,$DL$13:$DL$37,0)</f>
        <v>12</v>
      </c>
      <c r="DN13" s="167">
        <v>0</v>
      </c>
      <c r="DO13" s="171">
        <f>RANK(DN13,$DN$13:$DN$37,0)</f>
        <v>15</v>
      </c>
      <c r="DP13" s="167">
        <v>41</v>
      </c>
      <c r="DQ13" s="171">
        <f>RANK(DP13,$DP$13:$DP$37,1)</f>
        <v>14</v>
      </c>
      <c r="DR13" s="167">
        <v>86.4</v>
      </c>
      <c r="DS13" s="171">
        <f>RANK(DR13,$DR$13:$DR$37,0)</f>
        <v>5</v>
      </c>
      <c r="DT13" s="167">
        <v>0</v>
      </c>
      <c r="DU13" s="171">
        <f>RANK(DT13,$DT$13:$DT$37,1)</f>
        <v>1</v>
      </c>
      <c r="DV13" s="167">
        <f>AVERAGE(DU13,DS13,DQ13,DM13,DK13,DI13,DG13,DE13)</f>
        <v>9.375</v>
      </c>
      <c r="DW13" s="169">
        <f>RANK(DV13,$DV$13:$DV$37,1)</f>
        <v>8</v>
      </c>
      <c r="DX13" s="176"/>
      <c r="DY13" s="173">
        <v>8.7900000000000006E-2</v>
      </c>
      <c r="DZ13" s="171">
        <f>RANK(DY13,$DY$13:$DY$37,0)</f>
        <v>15</v>
      </c>
      <c r="EA13" s="167">
        <v>0.133608</v>
      </c>
      <c r="EB13" s="171">
        <f>RANK(EA13,$EA$13:$EA$37,0)</f>
        <v>15</v>
      </c>
      <c r="EC13" s="167">
        <v>0</v>
      </c>
      <c r="ED13" s="171">
        <f>RANK(EC13,$EC$13:$EC$37,0)</f>
        <v>9</v>
      </c>
      <c r="EE13" s="167">
        <v>0</v>
      </c>
      <c r="EF13" s="171">
        <f>RANK(EE13,$EE$13:$EE$37,0)</f>
        <v>10</v>
      </c>
      <c r="EG13" s="167">
        <v>3.0000000000000001E-3</v>
      </c>
      <c r="EH13" s="171">
        <f>RANK(EG13,$EG$13:$EG$37,0)</f>
        <v>14</v>
      </c>
      <c r="EI13" s="167">
        <v>4.6399999999999997E-2</v>
      </c>
      <c r="EJ13" s="171">
        <f>RANK(EI13,$EI$13:$EI$37,0)</f>
        <v>18</v>
      </c>
      <c r="EK13" s="167">
        <v>2E-3</v>
      </c>
      <c r="EL13" s="171">
        <f>RANK(EK13,$EK$13:$EK$37,0)</f>
        <v>13</v>
      </c>
      <c r="EM13" s="167">
        <v>0.01</v>
      </c>
      <c r="EN13" s="171">
        <f>RANK(EM13,$EM$13:$EM$37,0)</f>
        <v>15</v>
      </c>
      <c r="EO13" s="167">
        <v>0</v>
      </c>
      <c r="EP13" s="171">
        <f>RANK(EO13,$EO$13:$EO$37,0)</f>
        <v>9</v>
      </c>
      <c r="EQ13" s="167">
        <v>0</v>
      </c>
      <c r="ER13" s="171">
        <f>RANK(EQ13,$EQ$13:$EQ$37,0)</f>
        <v>13</v>
      </c>
      <c r="ES13" s="167">
        <v>22.98971460681231</v>
      </c>
      <c r="ET13" s="171">
        <v>4</v>
      </c>
      <c r="EU13" s="167">
        <v>151.56320243552216</v>
      </c>
      <c r="EV13" s="171">
        <v>4</v>
      </c>
      <c r="EW13" s="167">
        <f>SUM(DY13,EC13,EG13,EK13,EO13)</f>
        <v>9.290000000000001E-2</v>
      </c>
      <c r="EX13" s="165">
        <f>RANK(EW13,$EW$13:$EW$37,0)</f>
        <v>16</v>
      </c>
      <c r="EY13" s="167">
        <f>SUM(EA13,EE13,EI13,EM13,EQ13)</f>
        <v>0.19000800000000001</v>
      </c>
      <c r="EZ13" s="165">
        <f>RANK(EY13,$EY$13:$EY$37,0)</f>
        <v>21</v>
      </c>
      <c r="FA13" s="167">
        <f>AVERAGE(EX13,ET13)</f>
        <v>10</v>
      </c>
      <c r="FB13" s="168">
        <f>RANK(FA13,$FA$13:$FA$37,1)</f>
        <v>17</v>
      </c>
      <c r="FC13" s="167">
        <f>AVERAGE(EZ13,EV13)</f>
        <v>12.5</v>
      </c>
      <c r="FD13" s="169">
        <f>RANK(FC13,$FC$13:$FC$37,1)</f>
        <v>21</v>
      </c>
      <c r="FE13" s="167">
        <f t="shared" ref="FE13:FE37" si="2">((FB13*$C$51)+(DW13*$C$50)+(DA13*$C$49)+(CE13*$C$48)+(BC13*$C$47))/COUNT($C$47:$C$51)</f>
        <v>2.83</v>
      </c>
      <c r="FF13" s="168">
        <f>RANK(FE13,$FE$13:$FE$37,1)</f>
        <v>16</v>
      </c>
      <c r="FG13" s="167">
        <f t="shared" ref="FG13:FG37" si="3">((FD13*$C$51)+(DW13*$C$50)+(DC13*$C$49)+(CG13*$C$48)+(BE13*$C$47))/COUNT($C$47:$C$51)</f>
        <v>3.2</v>
      </c>
      <c r="FH13" s="177">
        <f>RANK(FG13,$FG$13:$FG$37,1)</f>
        <v>21</v>
      </c>
      <c r="FI13"/>
    </row>
    <row r="14" spans="1:170">
      <c r="B14" s="676"/>
      <c r="C14" s="163" t="s">
        <v>26</v>
      </c>
      <c r="D14" s="164">
        <v>0</v>
      </c>
      <c r="E14" s="165">
        <f t="shared" ref="E14:E37" si="4">IF((OR(D14&gt;$D$45,D14=$D$45)),$C$45,IF((AND(D14&lt;$D$44,D14&gt;$D$43)),$C$44,IF((OR(D14=$D$43,AND(D14&lt;$D$43,D14&gt;$D$42))),$C$43,IF((OR(D14=$D$42,AND(D14&lt;$D$42,D14&gt;$D$41))),$C$42,IF((OR(D14=$D$41,D14&lt;$D$41)),$C$41)))))</f>
        <v>1</v>
      </c>
      <c r="F14" s="166">
        <v>0</v>
      </c>
      <c r="G14" s="165">
        <f t="shared" ref="G14:G37" si="5">IF((OR(F14&gt;$F$45,F14=$F$45)),$C$45,IF((AND(F14&lt;$F$44,F14&gt;$F$43)),$C$44,IF((OR(F14=$F$43,AND(F14&lt;$F$43,F14&gt;$F$42))),$C$43,IF((OR(F14=$F$42,AND(F14&lt;$F$42,F14&gt;$F$41))),$C$42,IF((OR(F14=$F$41,F14&lt;$F$41)),$C$41)))))</f>
        <v>1</v>
      </c>
      <c r="H14" s="166">
        <v>0.4</v>
      </c>
      <c r="I14" s="165">
        <f t="shared" ref="I14:I37" si="6">IF((OR(H14&gt;$H$45,H14=$H$45)),$C$45,IF((AND(H14&lt;$H$44,H14&gt;$H$43)),$C$44,IF((OR(H14=$H$43,AND(H14&lt;$H$43,H14&gt;$H$42))),$C$43,IF((OR(H14=$H$42,AND(H14&lt;$H$42,H14&gt;$H$41))),$C$42,IF((OR(H14=$H$41,H14&lt;$H$41)),$C$41)))))</f>
        <v>1</v>
      </c>
      <c r="J14" s="166">
        <v>0</v>
      </c>
      <c r="K14" s="165">
        <f t="shared" ref="K14:K37" si="7">IF((OR(J14&gt;$J$45,J14=$J$45)),$C$45,IF((AND(J14&lt;$J$44,J14&gt;$J$43)),$C$44,IF((OR(J14=$J$43,AND(J14&lt;$J$43,J14&gt;$J$42))),$C$43,IF((OR(J14=$J$42,AND(J14&lt;$J$42,J14&gt;$J$41))),$C$42,IF((OR(J14=$J$41,J14&lt;$J$41)),$C$41)))))</f>
        <v>1</v>
      </c>
      <c r="L14" s="166">
        <v>0.4</v>
      </c>
      <c r="M14" s="165">
        <f t="shared" ref="M14:M37" si="8">IF((OR(L14&gt;$L$45,L14=$L$45)),$C$45,IF((AND(L14&lt;$L$44,L14&gt;$L$43)),$C$44,IF((OR(L14=$L$43,AND(L14&lt;$L$43,L14&gt;$L$42))),$C$43,IF((OR(L14=$L$42,AND(L14&lt;$L$42,L14&gt;$L$41))),$C$42,IF((OR(L14=$L$41,L14&lt;$L$41)),$C$41)))))</f>
        <v>1</v>
      </c>
      <c r="N14" s="166">
        <v>0</v>
      </c>
      <c r="O14" s="165">
        <f t="shared" ref="O14:O37" si="9">IF((OR(N14&gt;$N$45,N14=$N$45)),$C$45,IF((AND(N14&lt;$N$44,N14&gt;$N$43)),$C$44,IF((OR(N14=$N$43,AND(N14&lt;$N$43,N14&gt;$N$42))),$C$43,IF((OR(N14=$N$42,AND(N14&lt;$N$42,N14&gt;$N$41))),$C$42,IF((OR(N14=$N$41,N14&lt;$N$41)),$C$41)))))</f>
        <v>1</v>
      </c>
      <c r="P14" s="166">
        <v>0</v>
      </c>
      <c r="Q14" s="165">
        <f t="shared" ref="Q14:Q37" si="10">IF((OR(P14&gt;$P$45,P14=$P$45)),$C$45,IF((AND(P14&lt;$P$44,P14&gt;$P$43)),$C$44,IF((OR(P14=$P$43,AND(P14&lt;$P$43,P14&gt;$P$42))),$C$43,IF((OR(P14=$P$42,AND(P14&lt;$P$42,P14&gt;$P$41))),$C$42,IF((OR(P14=$P$41,P14&lt;$P$41)),$C$41)))))</f>
        <v>1</v>
      </c>
      <c r="R14" s="166">
        <v>0</v>
      </c>
      <c r="S14" s="165">
        <f t="shared" ref="S14:S37" si="11">IF((OR(R14&gt;$R$44,R14=$R$45)),$C$45,IF((AND(R14&lt;$R$44,R14&gt;$R$43)),$C$44,IF((OR(R14=$R$43,AND(R14&lt;$R$43,R14&gt;$R$42))),$C$43,IF((OR(R14=$R$42,AND(R14&lt;$R$42,R14&gt;$R$41))),$C$42,IF((OR(R14=$R$41,R14&lt;$R$41)),$C$41)))))</f>
        <v>1</v>
      </c>
      <c r="T14" s="166">
        <v>0</v>
      </c>
      <c r="U14" s="165">
        <f t="shared" ref="U14:U37" si="12">IF((OR(T14&gt;$T$45,T14=$T$45)),$C$45,IF((AND(T14&lt;$T$44,T14&gt;$T$43)),$C$44,IF((OR(T14=$T$43,AND(T14&lt;$T$43,T14&gt;$T$42))),$C$43,IF((OR(T14=$T$42,AND(T14&lt;$T$42,T14&gt;$T$41))),$C$42,IF((OR(T14=$T$41,T14&lt;$T$41)),$C$41)))))</f>
        <v>1</v>
      </c>
      <c r="V14" s="166">
        <v>0</v>
      </c>
      <c r="W14" s="165">
        <f t="shared" ref="W14:W37" si="13">IF((OR(V14&gt;$V$45,V14=$V$45)),$C$45,IF((AND(V14&lt;$V$44,V14&gt;$V$43)),$C$44,IF((OR(V14=$V$43,AND(V14&lt;$V$43,V14&gt;$V$42))),$C$43,IF((OR(V14=$V$42,AND(V14&lt;$V$42,V14&gt;$V$41))),$C$42,IF((OR(V14=$V$41,V14&lt;$V$41)),$C$41)))))</f>
        <v>1</v>
      </c>
      <c r="X14" s="166">
        <v>0</v>
      </c>
      <c r="Y14" s="165">
        <f t="shared" ref="Y14:Y37" si="14">IF((OR(X14&gt;$X$45,X14=$X$45)),$C$45,IF((AND(X14&lt;$X$44,X14&gt;$X$43)),$C$44,IF((OR(X14=$X$43,AND(X14&lt;$X$43,X14&gt;$X$42))),$C$43,IF((OR(X14=$X$42,AND(X14&lt;$X$42,X14&gt;$X$41))),$C$42,IF((OR(X14=$X$41,X14&lt;$X$41)),$C$41)))))</f>
        <v>1</v>
      </c>
      <c r="Z14" s="166">
        <v>0</v>
      </c>
      <c r="AA14" s="165">
        <f t="shared" ref="AA14:AA37" si="15">IF((OR(Z14&gt;$Z$45,Z14=$Z$45)),$C$45,IF((AND(Z14&lt;$Z$44,Z14&gt;$Z$43)),$C$44,IF((OR(Z14=$Z$43,AND(Z14&lt;$Z$43,Z14&gt;$Z$42))),$C$43,IF((OR(Z14=$Z$42,AND(Z14&lt;$Z$42,Z14&gt;$Z$41))),$C$42,IF((OR(Z14=$Z$41,Z14&lt;$Z$41)),$C$41)))))</f>
        <v>1</v>
      </c>
      <c r="AB14" s="166">
        <v>13</v>
      </c>
      <c r="AC14" s="165">
        <f t="shared" ref="AC14:AC37" si="16">IF((OR(AB14&gt;$AB$45,AB14=$AB$45)),$C$45,IF((AND(AB14&lt;$AB$44,AB14&gt;$AB$43)),$C$44,IF((OR(AB14=$AB$43,AND(AB14&lt;$AB$43,AB14&gt;$AB$42))),$C$43,IF((OR(AB14=$AB$42,AND(AB14&lt;$AB$42,AB14&gt;$AB$41))),$C$42,IF((OR(AB14=$AB$41,AB14&lt;$AB$41)),$C$41)))))</f>
        <v>2</v>
      </c>
      <c r="AD14" s="166">
        <v>0</v>
      </c>
      <c r="AE14" s="165">
        <f t="shared" ref="AE14:AE37" si="17">IF((OR(AD14&gt;$AD$45,AD14=$AD$45)),$C$45,IF((AND(AD14&lt;$AD$44,AD14&gt;$AD$43)),$C$44,IF((OR(AD14=$AD$43,AND(AD14&lt;$AD$43,AD14&gt;$AD$42))),$C$43,IF((OR(AD14=$AD$42,AND(AD14&lt;$AD$42,AD14&gt;$AD$41))),$C$42,IF((OR(AD14=$AD$41,AD14&lt;$AD$41)),$C$41)))))</f>
        <v>1</v>
      </c>
      <c r="AF14" s="166">
        <v>13</v>
      </c>
      <c r="AG14" s="165">
        <f t="shared" ref="AG14:AG37" si="18">IF((OR(AF14&gt;$AF$45,AF14=$AF$45)),$C$45,IF((AND(AF14&lt;$AF$44,AF14&gt;$AF$43)),$C$44,IF((OR(AF14=$AF$43,AND(AF14&lt;$AF$43,AF14&gt;$AF$42))),$C$43,IF((OR(AF14=$AF$42,AND(AF14&lt;$AF$42,AF14&gt;$AF$41))),$C$42,IF((OR(AF14=$AF$41,AF14&lt;$AF$41)),$C$41)))))</f>
        <v>2</v>
      </c>
      <c r="AH14" s="166">
        <v>0</v>
      </c>
      <c r="AI14" s="165">
        <f t="shared" ref="AI14:AI37" si="19">IF((OR(AH14&gt;$AH$45,AH14=$AH$45)),$C$45,IF((AND(AH14&lt;$AH$44,AH14&gt;$AH$43)),$C$44,IF((OR(AH14=$AH$43,AND(AH14&lt;$AH$43,AH14&gt;$AH$42))),$C$43,IF((OR(AH14=$AH$42,AND(AH14&lt;$AH$42,AH14&gt;$AH$41))),$C$42,IF((OR(AH14=$AH$41,AH14&lt;$AH$41)),$C$41)))))</f>
        <v>1</v>
      </c>
      <c r="AJ14" s="166">
        <v>0</v>
      </c>
      <c r="AK14" s="165">
        <f t="shared" ref="AK14:AK37" si="20">IF((OR(AJ14&gt;$AJ$45,AJ14=$AJ$45)),$C$45,IF((AND(AJ14&lt;$AJ$44,AJ14&gt;$AJ$43)),$C$44,IF((OR(AJ14=$AJ$43,AND(AJ14&lt;$AJ$43,AJ14&gt;$AJ$42))),$C$43,IF((OR(AJ14=$AJ$42,AND(AJ14&lt;$AJ$42,AJ14&gt;$AJ$41))),$C$42,IF((OR(AJ14=$AJ$41,AJ14&lt;$AJ$41)),$C$41)))))</f>
        <v>1</v>
      </c>
      <c r="AL14" s="166">
        <v>0</v>
      </c>
      <c r="AM14" s="165">
        <f t="shared" ref="AM14:AM37" si="21">IF((OR(AL14&gt;$AL$45,AL14=$AL$45)),$C$45,IF((AND(AL14&lt;$AL$44,AL14&gt;$AL$43)),$C$44,IF((OR(AL14=$AL$43,AND(AL14&lt;$AL$43,AL14&gt;$AL$42))),$C$43,IF((OR(AL14=$AL$42,AND(AL14&lt;$AL$42,AL14&gt;$AL$41))),$C$42,IF((OR(AL14=$AL$41,AL14&lt;$AL$41)),$C$41)))))</f>
        <v>1</v>
      </c>
      <c r="AN14" s="166">
        <v>0</v>
      </c>
      <c r="AO14" s="165">
        <f t="shared" ref="AO14:AO37" si="22">IF((OR(AN14&gt;$AN$45,AN14=$AN$45)),$C$45,IF((AND(AN14&lt;$AN$44,AN14&gt;$AN$43)),$C$44,IF((OR(AN14=$AN$43,AND(AN14&lt;$AN$43,AN14&gt;$AN$42))),$C$43,IF((OR(AN14=$AN$42,AND(AN14&lt;$AN$42,AN14&gt;$AN$41))),$C$42,IF((OR(AN14=$AN$41,AN14&lt;$AN$41)),$C$41)))))</f>
        <v>1</v>
      </c>
      <c r="AP14" s="166">
        <v>0</v>
      </c>
      <c r="AQ14" s="165">
        <f t="shared" ref="AQ14:AQ37" si="23">IF((OR(AP14&gt;$AP$45,AP14=$AP$45)),$C$45,IF((AND(AP14&lt;$AP$44,AP14&gt;$AP$43)),$C$44,IF((OR(AP14=$AP$43,AND(AP14&lt;$AP$43,AP14&gt;$AP$42))),$C$43,IF((OR(AP14=$AP$42,AND(AP14&lt;$AP$42,AP14&gt;$AP$41))),$C$42,IF((OR(AP14=$AP$41,AP14&lt;$AP$41)),$C$41)))))</f>
        <v>1</v>
      </c>
      <c r="AR14" s="166">
        <v>0</v>
      </c>
      <c r="AS14" s="165">
        <f t="shared" ref="AS14:AS37" si="24">IF((OR(AR14&gt;$AR$45,AR14=$AR$45)),$C$45,IF((AND(AR14&lt;$AR$44,AR14&gt;$AR$43)),$C$44,IF((OR(AR14=$AR$43,AND(AR14&lt;$AR$43,AR14&gt;$AR$42))),$C$43,IF((OR(AR14=$AR$42,AND(AR14&lt;$AR$42,AR14&gt;$AR$41))),$C$42,IF((OR(AR14=$AR$41,AR14&lt;$AR$41)),$C$41)))))</f>
        <v>1</v>
      </c>
      <c r="AT14" s="166">
        <v>0</v>
      </c>
      <c r="AU14" s="165">
        <f t="shared" ref="AU14:AU37" si="25">IF((OR(AT14&gt;$AT$45,AT14=$AT$45)),$C$45,IF((AND(AT14&lt;$AT$44,AT14&gt;$AT$43)),$C$44,IF((OR(AT14=$AT$43,AND(AT14&lt;$AT$43,AT14&gt;$AT$42))),$C$43,IF((OR(AT14=$AT$42,AND(AT14&lt;$AT$42,AT14&gt;$AT$41))),$C$42,IF((OR(AT14=$AT$41,AT14&lt;$AT$41)),$C$41)))))</f>
        <v>1</v>
      </c>
      <c r="AV14" s="166">
        <v>0</v>
      </c>
      <c r="AW14" s="165">
        <f t="shared" ref="AW14:AW37" si="26">IF((OR(AV14&gt;$AV$45,AV14=$AV$45)),$C$45,IF((AND(AV14&lt;$AV$44,AV14&gt;$AV$43)),$C$44,IF((OR(AV14=$AV$43,AND(AV14&lt;$AV$43,AV14&gt;$AV$42))),$C$43,IF((OR(AV14=$AV$42,AND(AV14&lt;$AV$42,AV14&gt;$AV$41))),$C$42,IF((OR(AV14=$AV$41,AV14&lt;$AV$41)),$C$41)))))</f>
        <v>1</v>
      </c>
      <c r="AX14" s="166">
        <v>0</v>
      </c>
      <c r="AY14" s="165">
        <f t="shared" ref="AY14:AY37" si="27">IF((OR(AX14&gt;$AX$45,AX14=$AX$45)),$C$45,IF((AND(AX14&lt;$AX$44,AX14&gt;$AX$43)),$C$44,IF((OR(AX14=$AX$43,AND(AX14&lt;$AX$43,AX14&gt;$AX$42))),$C$43,IF((OR(AX14=$AX$42,AND(AX14&lt;$AX$42,AX14&gt;$AX$41))),$C$42,IF((OR(AX14=$AX$41,AX14&lt;$AX$41)),$C$41)))))</f>
        <v>1</v>
      </c>
      <c r="AZ14" s="166">
        <v>0</v>
      </c>
      <c r="BA14" s="165">
        <f t="shared" ref="BA14:BA37" si="28">IF((OR(AZ14&gt;$AZ$45,AZ14=$AZ$45)),$C$45,IF((AND(AZ14&lt;$AZ$44,AZ14&gt;$AZ$43)),$C$44,IF((OR(AZ14=$AZ$43,AND(AZ14&lt;$AZ$43,AZ14&gt;$AZ$42))),$C$43,IF((OR(AZ14=$AZ$42,AND(AZ14&lt;$AZ$42,AZ14&gt;$AZ$41))),$C$42,IF((OR(AZ14=$AZ$41,AZ14&lt;$AZ$41)),$C$41)))))</f>
        <v>1</v>
      </c>
      <c r="BB14" s="216">
        <f t="shared" ref="BB14:BB37" si="29">AVERAGE(SUM(AW14,AU14,AS14)*$C$58,SUM(AM14,AK14,AI14)*$C$59,SUM(AC14,AA14,Y14)*$C$57,SUM(S14,Q14,O14)*$C$56,SUM(I14,G14,E14)*$C$55)</f>
        <v>0.64</v>
      </c>
      <c r="BC14" s="168">
        <f t="shared" ref="BC14:BC37" si="30">RANK(BB14,$BB$13:$BB$37,0)</f>
        <v>17</v>
      </c>
      <c r="BD14" s="216">
        <f t="shared" ref="BD14:BD37" si="31">AVERAGE(SUM(BA14,AY14)*$C$58,SUM(AQ14,AO14)*$C$59,SUM(AG14,AE14)*$C$57,SUM(W14,U14)*$C$56,SUM(M14,K14)*$C$55)</f>
        <v>0.44000000000000006</v>
      </c>
      <c r="BE14" s="169">
        <f t="shared" ref="BE14:BE37" si="32">RANK(BD14,$BD$13:$BD$37,0)</f>
        <v>17</v>
      </c>
      <c r="BF14" s="170">
        <v>0</v>
      </c>
      <c r="BG14" s="171">
        <f t="shared" ref="BG14:BG37" si="33">IF((OR(BF14&gt;$BF$45,BF14=$BF$45)),$C$45,IF((AND(BF14&lt;$BF$45,BF14&gt;$BF$44)),$C$44,IF((OR(BF14=$BF$43,AND(BF14&lt;$BF$43,BF14&gt;$BF$42))),$C$43,IF((OR(BF14=$BF$42,AND(BF14&lt;$BF$42,BF14&gt;$BF$41))),$C$42,IF((OR(BF14=$BF$41,BF14&lt;$BF$41)),$C$41)))))</f>
        <v>1</v>
      </c>
      <c r="BH14" s="172">
        <v>0</v>
      </c>
      <c r="BI14" s="171">
        <f t="shared" ref="BI14:BI37" si="34">IF((OR(BH14&gt;$BH$45,BH14=$BH$45)),$C$45,IF((AND(BH14&lt;$BH$44,BH14&gt;$BH$43)),$C$44,IF((OR(BH14=$BH$43,AND(BH14&lt;$BH$43,BH14&gt;$BH$42))),$C$43,IF((OR(BH14=$BH$42,AND(BH14&lt;$BH$42,BH14&gt;$BH$41))),$C$42,IF((OR(BH14=$BH$41,BH14&lt;$BH$41)),$C$41)))))</f>
        <v>1</v>
      </c>
      <c r="BJ14" s="172">
        <v>0</v>
      </c>
      <c r="BK14" s="171">
        <f t="shared" ref="BK14:BK37" si="35">IF((OR(BJ14&gt;$BJ$44,BJ14=$BJ$45)),$C$45,IF((AND(BJ14&lt;$BJ$44,BJ14&gt;$BJ$43)),$C$44,IF((OR(BJ14=$BJ$43,AND(BJ14&lt;$BJ$43,BJ14&gt;$BJ$42))),$C$43,IF((OR(BJ14=$BJ$42,AND(BJ14&lt;$BJ$42,BJ14&gt;$BJ$41))),$C$42,IF((OR(BJ14=$BJ$41,BJ14&lt;$BJ$41)),$C$41)))))</f>
        <v>1</v>
      </c>
      <c r="BL14" s="172">
        <v>0</v>
      </c>
      <c r="BM14" s="171">
        <f t="shared" ref="BM14:BM37" si="36">IF((OR(BL14&gt;$BL$45,BL14=$BL$45)),$C$45,IF((AND(BL14&lt;$BL$44,BL14&gt;$BL$43)),$C$44,IF((OR(BL14=$BL$43,AND(BL14&lt;$BL$43,BL14&gt;$BL$42))),$C$43,IF((OR(BL14=$BL$42,AND(BL14&lt;$BL$42,BL14&gt;$BL$41))),$C$42,IF((OR(BL14=$BL$41,BL14&lt;$BL$41)),$C$41)))))</f>
        <v>1</v>
      </c>
      <c r="BN14" s="172">
        <v>0</v>
      </c>
      <c r="BO14" s="171">
        <f t="shared" ref="BO14:BO37" si="37">IF((OR(BN14&gt;$BN$45,BN14=$BN$45)),$C$45,IF((AND(BN14&lt;$BN$44,BN14&gt;$BN$43)),$C$44,IF((OR(BN14=$BN$43,AND(BN14&lt;$BN$43,BN14&gt;$BN$42))),$C$43,IF((OR(BN14=$BN$42,AND(BN14&lt;$BN$42,BN14&gt;$BN$41))),$C$42,IF((OR(BN14=$BN$41,BN14&lt;$BN$41)),$C$41)))))</f>
        <v>1</v>
      </c>
      <c r="BP14" s="172">
        <v>0</v>
      </c>
      <c r="BQ14" s="171">
        <f t="shared" ref="BQ14:BQ37" si="38">IF((OR(BP14&gt;$BP$45,BP14=$BP$45)),$C$45,IF((AND(BP14&lt;$BP$44,BP14&gt;$BP$43)),$C$44,IF((OR(BP14=$BP$43,AND(BP14&lt;$BP$43,BP14&gt;$BP$42))),$C$43,IF((OR(BP14=$BP$42,AND(BP14&lt;$BP$42,BP14&gt;$BP$41))),$C$42,IF((OR(BP14=$BP$41,BP14&lt;$BP$41)),$C$41)))))</f>
        <v>1</v>
      </c>
      <c r="BR14" s="172">
        <v>0</v>
      </c>
      <c r="BS14" s="171">
        <f t="shared" ref="BS14:BS37" si="39">IF((OR(BR14&gt;$BR$45,BR14=$BR$45)),$C$45,IF((AND(BR14&lt;$BR$44,BR14&gt;$BR$43)),$C$44,IF((OR(BR14=$BR$43,AND(BR14&lt;$BR$43,BR14&gt;$BR$42))),$C$43,IF((OR(BR14=$BR$42,AND(BR14&lt;$BR$42,BR14&gt;$BR$41))),$C$42,IF((OR(BR14=$BR$41,BR14&lt;$BR$41)),$C$41)))))</f>
        <v>1</v>
      </c>
      <c r="BT14" s="172">
        <v>0</v>
      </c>
      <c r="BU14" s="171">
        <f t="shared" ref="BU14:BU37" si="40">IF((OR(BT14&gt;$BT$45,BT14=$BT$45)),$C$45,IF((AND(BT14&lt;$BT$44,BT14&gt;$BT$43)),$C$44,IF((OR(BT14=$BT$43,AND(BT14&lt;$BT$43,BT14&gt;$BT$42))),$C$43,IF((OR(BT14=$BT$42,AND(BT14&lt;$BT$42,BT14&gt;$BT$41))),$C$42,IF((OR(BT14=$BT$41,BT14&lt;$BT$41)),$C$41)))))</f>
        <v>1</v>
      </c>
      <c r="BV14" s="172">
        <v>0</v>
      </c>
      <c r="BW14" s="171">
        <f t="shared" ref="BW14:BW37" si="41">IF((OR(BV14&gt;$BV$45,BV14=$BV$45)),$C$45,IF((AND(BV14&lt;$BV$44,BV14&gt;$BV$43)),$C$44,IF((OR(BV14=$BV$43,AND(BV14&lt;$BV$43,BV14&gt;$BV$42))),$C$43,IF((OR(BV14=$BV$42,AND(BV14&lt;$BV$42,BV14&gt;$BV$41))),$C$42,IF((OR(BV14=$BV$41,BV14&lt;$BV$41)),$C$41)))))</f>
        <v>1</v>
      </c>
      <c r="BX14" s="172">
        <v>0</v>
      </c>
      <c r="BY14" s="171">
        <f t="shared" ref="BY14:BY37" si="42">IF((OR(BX14&gt;$BX$45,BX14=$BX$45)),$C$45,IF((AND(BX14&lt;$BX$44,BX14&gt;$BX$43)),$C$44,IF((OR(BX14=$BX$43,AND(BX14&lt;$BX$43,BX14&gt;$BX$42))),$C$43,IF((OR(BX14=$BX$42,AND(BX14&lt;$BX$42,BX14&gt;$BX$41))),$C$42,IF((OR(BX14=$BX$41,BX14&lt;$BX$41)),$C$41)))))</f>
        <v>1</v>
      </c>
      <c r="BZ14" s="167">
        <v>0.36</v>
      </c>
      <c r="CA14" s="171">
        <f t="shared" ref="CA14:CA37" si="43">IF((OR(BZ14&gt;$BZ$45,BZ14=$BZ$45)),$C$45,IF((AND(BZ14&lt;$BZ$44,BZ14&gt;$BZ$43)),$C$44,IF((OR(BZ14=$BZ$43,AND(BZ14&lt;$BZ$43,BZ14&gt;$BZ$42))),$C$43,IF((OR(BZ14=$BZ$42,AND(BZ14&lt;$BZ$42,BZ14&gt;$BZ$41))),$C$42,IF((OR(BZ14=$BZ$41,BZ14&lt;$BZ$41)),$C$41)))))</f>
        <v>1</v>
      </c>
      <c r="CB14" s="167">
        <v>26</v>
      </c>
      <c r="CC14" s="171">
        <f t="shared" ref="CC14:CC37" si="44">IF((OR(CB14&gt;$CB$45,CB14=$CB$45)),$C$45,IF((AND(CB14&lt;$CB$44,CB14&gt;$CB$43)),$C$44,IF((OR(CB14=$CB$43,AND(CB14&lt;$CB$43,CB14&gt;$CB$42))),$C$43,IF((OR(CB14=$CB$42,AND(CB14&lt;$CB$42,CB14&gt;$CB$41))),$C$42,IF((OR(CB14=$CB$41,CB14&lt;$CB$41)),$C$41)))))</f>
        <v>2</v>
      </c>
      <c r="CD14" s="167">
        <f t="shared" ref="CD14:CD37" si="45">AVERAGE(CA14,BW14,BS14,BO14,BK14,BG14)</f>
        <v>1</v>
      </c>
      <c r="CE14" s="168">
        <f t="shared" ref="CE14:CE37" si="46">RANK(CD14,$CD$13:$CD$37,0)</f>
        <v>13</v>
      </c>
      <c r="CF14" s="167">
        <f t="shared" ref="CF14:CF37" si="47">AVERAGE(CC14,BY14,BU14,BQ14,BM14,BI14)</f>
        <v>1.1666666666666667</v>
      </c>
      <c r="CG14" s="169">
        <f t="shared" ref="CG14:CG37" si="48">RANK(CF14,$CF$13:$CF$37,0)</f>
        <v>12</v>
      </c>
      <c r="CH14" s="167">
        <v>2.06</v>
      </c>
      <c r="CI14" s="171">
        <f t="shared" ref="CI14:CI37" si="49">RANK(CH14,$CH$13:$CH$37,1)</f>
        <v>12</v>
      </c>
      <c r="CJ14" s="167">
        <v>2.23</v>
      </c>
      <c r="CK14" s="171">
        <f t="shared" ref="CK14:CK37" si="50">RANK(CJ14,$CJ$13:$CJ$37,1)</f>
        <v>12</v>
      </c>
      <c r="CL14" s="167">
        <v>7</v>
      </c>
      <c r="CM14" s="171">
        <f t="shared" ref="CM14:CM37" si="51">RANK(CL14,$CL$13:$CL$37,0)</f>
        <v>8</v>
      </c>
      <c r="CN14" s="167">
        <v>28</v>
      </c>
      <c r="CO14" s="171">
        <f t="shared" ref="CO14:CO37" si="52">RANK(CN14,$CN$13:$CN$37,1)</f>
        <v>1</v>
      </c>
      <c r="CP14" s="167">
        <v>5</v>
      </c>
      <c r="CQ14" s="171">
        <f t="shared" ref="CQ14:CQ37" si="53">RANK(CP14,$CP$13:$CP$37,1)</f>
        <v>1</v>
      </c>
      <c r="CR14" s="167">
        <v>91.5</v>
      </c>
      <c r="CS14" s="171">
        <f t="shared" ref="CS14:CS37" si="54">RANK(CR14,$CR$13:$CR$37,0)</f>
        <v>5</v>
      </c>
      <c r="CT14" s="167">
        <f>6.3+CR14</f>
        <v>97.8</v>
      </c>
      <c r="CU14" s="171">
        <f t="shared" ref="CU14:CU37" si="55">RANK(CT14,$CT$13:$CT$37,0)</f>
        <v>3</v>
      </c>
      <c r="CV14" s="167">
        <v>36.1</v>
      </c>
      <c r="CW14" s="171">
        <f t="shared" ref="CW14:CW37" si="56">RANK(CV14,$CV$13:$CV$37,0)</f>
        <v>2</v>
      </c>
      <c r="CX14" s="167">
        <v>38.300000000000004</v>
      </c>
      <c r="CY14" s="171">
        <f t="shared" ref="CY14:CY37" si="57">RANK(CX14,$CX$13:$CX$37,0)</f>
        <v>2</v>
      </c>
      <c r="CZ14" s="167">
        <f t="shared" si="0"/>
        <v>5.6</v>
      </c>
      <c r="DA14" s="168">
        <f t="shared" ref="DA14:DA37" si="58">RANK(CZ14,$CZ$13:$CZ$37,1)</f>
        <v>1</v>
      </c>
      <c r="DB14" s="167">
        <f t="shared" ref="DB14:DB37" si="59">AVERAGE(CY14,CU14,CQ14,CM14,CK14)</f>
        <v>5.2</v>
      </c>
      <c r="DC14" s="169">
        <f t="shared" si="1"/>
        <v>1</v>
      </c>
      <c r="DD14" s="173">
        <v>114.63</v>
      </c>
      <c r="DE14" s="171">
        <f t="shared" ref="DE14:DE37" si="60">RANK(DD14,$DD$13:$DD$37,1)</f>
        <v>19</v>
      </c>
      <c r="DF14" s="167">
        <v>3.84</v>
      </c>
      <c r="DG14" s="171">
        <f t="shared" ref="DG14:DG37" si="61">RANK(DF14,$DF$13:$DF$37,0)</f>
        <v>7</v>
      </c>
      <c r="DH14" s="174">
        <v>2.1930000000000002E-2</v>
      </c>
      <c r="DI14" s="171">
        <f t="shared" ref="DI14:DI37" si="62">RANK(DH14,$DH$13:$DH$37,0)</f>
        <v>7</v>
      </c>
      <c r="DJ14" s="175">
        <v>0.25600000000000001</v>
      </c>
      <c r="DK14" s="171">
        <f t="shared" ref="DK14:DK37" si="63">RANK(DJ14,$DJ$13:$DJ$37,0)</f>
        <v>11</v>
      </c>
      <c r="DL14" s="167">
        <v>42.7</v>
      </c>
      <c r="DM14" s="171">
        <f t="shared" ref="DM14:DM37" si="64">RANK(DL14,$DL$13:$DL$37,0)</f>
        <v>10</v>
      </c>
      <c r="DN14" s="167">
        <v>68.44</v>
      </c>
      <c r="DO14" s="171">
        <f t="shared" ref="DO14:DO37" si="65">RANK(DN14,$DN$13:$DN$37,0)</f>
        <v>8</v>
      </c>
      <c r="DP14" s="167">
        <v>32</v>
      </c>
      <c r="DQ14" s="171">
        <f t="shared" ref="DQ14:DQ37" si="66">RANK(DP14,$DP$13:$DP$37,1)</f>
        <v>12</v>
      </c>
      <c r="DR14" s="167">
        <v>81.400000000000006</v>
      </c>
      <c r="DS14" s="171">
        <f t="shared" ref="DS14:DS37" si="67">RANK(DR14,$DR$13:$DR$37,0)</f>
        <v>14</v>
      </c>
      <c r="DT14" s="167">
        <v>0</v>
      </c>
      <c r="DU14" s="171">
        <f t="shared" ref="DU14:DU37" si="68">RANK(DT14,$DT$13:$DT$37,1)</f>
        <v>1</v>
      </c>
      <c r="DV14" s="167">
        <f t="shared" ref="DV14:DV37" si="69">AVERAGE(DU14,DS14,DQ14,DO14,DM14,DK14,DI14,DG14,DE14)</f>
        <v>9.8888888888888893</v>
      </c>
      <c r="DW14" s="169">
        <f t="shared" ref="DW14:DW37" si="70">RANK(DV14,$DV$13:$DV$37,1)</f>
        <v>9</v>
      </c>
      <c r="DX14" s="176"/>
      <c r="DY14" s="173">
        <v>4.6621480000000002</v>
      </c>
      <c r="DZ14" s="171">
        <f t="shared" ref="DZ14:DZ37" si="71">RANK(DY14,$DY$13:$DY$37,0)</f>
        <v>4</v>
      </c>
      <c r="EA14" s="167">
        <v>13.4</v>
      </c>
      <c r="EB14" s="171">
        <f t="shared" ref="EB14:EB37" si="72">RANK(EA14,$EA$13:$EA$37,0)</f>
        <v>6</v>
      </c>
      <c r="EC14" s="167">
        <v>0.95</v>
      </c>
      <c r="ED14" s="171">
        <f t="shared" ref="ED14:ED37" si="73">RANK(EC14,$EC$13:$EC$37,0)</f>
        <v>3</v>
      </c>
      <c r="EE14" s="167">
        <v>7.66</v>
      </c>
      <c r="EF14" s="171">
        <f t="shared" ref="EF14:EF37" si="74">RANK(EE14,$EE$13:$EE$37,0)</f>
        <v>3</v>
      </c>
      <c r="EG14" s="167">
        <v>6.4000000000000001E-2</v>
      </c>
      <c r="EH14" s="171">
        <f t="shared" ref="EH14:EH37" si="75">RANK(EG14,$EG$13:$EG$37,0)</f>
        <v>8</v>
      </c>
      <c r="EI14" s="167">
        <v>3.036</v>
      </c>
      <c r="EJ14" s="171">
        <f t="shared" ref="EJ14:EJ37" si="76">RANK(EI14,$EI$13:$EI$37,0)</f>
        <v>6</v>
      </c>
      <c r="EK14" s="167">
        <v>0.04</v>
      </c>
      <c r="EL14" s="171">
        <f t="shared" ref="EL14:EL37" si="77">RANK(EK14,$EK$13:$EK$37,0)</f>
        <v>5</v>
      </c>
      <c r="EM14" s="167">
        <v>0.1</v>
      </c>
      <c r="EN14" s="171">
        <f t="shared" ref="EN14:EN37" si="78">RANK(EM14,$EM$13:$EM$37,0)</f>
        <v>8</v>
      </c>
      <c r="EO14" s="167">
        <v>6.0503750000000002E-3</v>
      </c>
      <c r="EP14" s="171">
        <f t="shared" ref="EP14:EP37" si="79">RANK(EO14,$EO$13:$EO$37,0)</f>
        <v>4</v>
      </c>
      <c r="EQ14" s="167">
        <v>2.8531673437499998E-2</v>
      </c>
      <c r="ER14" s="171">
        <f t="shared" ref="ER14:ER37" si="80">RANK(EQ14,$EQ$13:$EQ$37,0)</f>
        <v>8</v>
      </c>
      <c r="ES14" s="167">
        <v>22.98971460681231</v>
      </c>
      <c r="ET14" s="171">
        <v>4</v>
      </c>
      <c r="EU14" s="167">
        <v>151.56320243552216</v>
      </c>
      <c r="EV14" s="171">
        <v>4</v>
      </c>
      <c r="EW14" s="167">
        <f>SUM(DY14,EC14,EG14,EK14,EO14)</f>
        <v>5.7221983750000005</v>
      </c>
      <c r="EX14" s="165">
        <f t="shared" ref="EX14:EX37" si="81">RANK(EW14,$EW$13:$EW$37,0)</f>
        <v>4</v>
      </c>
      <c r="EY14" s="167">
        <f t="shared" ref="EY14:EY37" si="82">SUM(EA14,EE14,EI14,EM14,EQ14)</f>
        <v>24.224531673437504</v>
      </c>
      <c r="EZ14" s="165">
        <f t="shared" ref="EZ14:EZ37" si="83">RANK(EY14,$EY$13:$EY$37,0)</f>
        <v>5</v>
      </c>
      <c r="FA14" s="167">
        <f t="shared" ref="FA14:FA37" si="84">AVERAGE(EX14,ET14)</f>
        <v>4</v>
      </c>
      <c r="FB14" s="168">
        <f t="shared" ref="FB14:FB37" si="85">RANK(FA14,$FA$13:$FA$37,1)</f>
        <v>5</v>
      </c>
      <c r="FC14" s="167">
        <f t="shared" ref="FC14:FC37" si="86">AVERAGE(EZ14,EV14)</f>
        <v>4.5</v>
      </c>
      <c r="FD14" s="169">
        <f t="shared" ref="FD14:FD37" si="87">RANK(FC14,$FC$13:$FC$37,1)</f>
        <v>5</v>
      </c>
      <c r="FE14" s="167">
        <f>((FB14*$C$51)+(DW14*$C$50)+(DA14*$C$49)+(CE14*$C$48)+(BC14*$C$47))/COUNT($C$47:$C$51)</f>
        <v>1.8399999999999999</v>
      </c>
      <c r="FF14" s="168">
        <f t="shared" ref="FF14:FF37" si="88">RANK(FE14,$FE$13:$FE$37,1)</f>
        <v>9</v>
      </c>
      <c r="FG14" s="167">
        <f t="shared" si="3"/>
        <v>1.81</v>
      </c>
      <c r="FH14" s="177">
        <f t="shared" ref="FH14:FH37" si="89">RANK(FG14,$FG$13:$FG$37,1)</f>
        <v>8</v>
      </c>
      <c r="FI14"/>
    </row>
    <row r="15" spans="1:170">
      <c r="B15" s="676"/>
      <c r="C15" s="163" t="s">
        <v>25</v>
      </c>
      <c r="D15" s="164">
        <v>0</v>
      </c>
      <c r="E15" s="165">
        <f t="shared" si="4"/>
        <v>1</v>
      </c>
      <c r="F15" s="166">
        <v>0</v>
      </c>
      <c r="G15" s="165">
        <f t="shared" si="5"/>
        <v>1</v>
      </c>
      <c r="H15" s="166">
        <v>0</v>
      </c>
      <c r="I15" s="165">
        <f t="shared" si="6"/>
        <v>1</v>
      </c>
      <c r="J15" s="166">
        <v>0</v>
      </c>
      <c r="K15" s="165">
        <f t="shared" si="7"/>
        <v>1</v>
      </c>
      <c r="L15" s="166">
        <v>0</v>
      </c>
      <c r="M15" s="165">
        <f t="shared" si="8"/>
        <v>1</v>
      </c>
      <c r="N15" s="166">
        <v>0</v>
      </c>
      <c r="O15" s="165">
        <f t="shared" si="9"/>
        <v>1</v>
      </c>
      <c r="P15" s="166">
        <v>0</v>
      </c>
      <c r="Q15" s="165">
        <f t="shared" si="10"/>
        <v>1</v>
      </c>
      <c r="R15" s="166">
        <v>0</v>
      </c>
      <c r="S15" s="165">
        <f t="shared" si="11"/>
        <v>1</v>
      </c>
      <c r="T15" s="166">
        <v>0</v>
      </c>
      <c r="U15" s="165">
        <f t="shared" si="12"/>
        <v>1</v>
      </c>
      <c r="V15" s="166">
        <v>0</v>
      </c>
      <c r="W15" s="165">
        <f t="shared" si="13"/>
        <v>1</v>
      </c>
      <c r="X15" s="166">
        <v>0</v>
      </c>
      <c r="Y15" s="165">
        <f t="shared" si="14"/>
        <v>1</v>
      </c>
      <c r="Z15" s="166">
        <v>0</v>
      </c>
      <c r="AA15" s="165">
        <f t="shared" si="15"/>
        <v>1</v>
      </c>
      <c r="AB15" s="166">
        <v>0</v>
      </c>
      <c r="AC15" s="165">
        <f t="shared" si="16"/>
        <v>1</v>
      </c>
      <c r="AD15" s="166">
        <v>0</v>
      </c>
      <c r="AE15" s="165">
        <f t="shared" si="17"/>
        <v>1</v>
      </c>
      <c r="AF15" s="166">
        <v>0</v>
      </c>
      <c r="AG15" s="165">
        <f t="shared" si="18"/>
        <v>1</v>
      </c>
      <c r="AH15" s="166">
        <v>10</v>
      </c>
      <c r="AI15" s="165">
        <f t="shared" si="19"/>
        <v>2</v>
      </c>
      <c r="AJ15" s="166">
        <v>0.8</v>
      </c>
      <c r="AK15" s="165">
        <f t="shared" si="20"/>
        <v>1</v>
      </c>
      <c r="AL15" s="166">
        <v>0</v>
      </c>
      <c r="AM15" s="165">
        <f t="shared" si="21"/>
        <v>1</v>
      </c>
      <c r="AN15" s="166">
        <v>0.9</v>
      </c>
      <c r="AO15" s="165">
        <f t="shared" si="22"/>
        <v>1</v>
      </c>
      <c r="AP15" s="166">
        <v>0</v>
      </c>
      <c r="AQ15" s="165">
        <f t="shared" si="23"/>
        <v>1</v>
      </c>
      <c r="AR15" s="166">
        <v>0</v>
      </c>
      <c r="AS15" s="165">
        <f t="shared" si="24"/>
        <v>1</v>
      </c>
      <c r="AT15" s="166">
        <v>0</v>
      </c>
      <c r="AU15" s="165">
        <f t="shared" si="25"/>
        <v>1</v>
      </c>
      <c r="AV15" s="166">
        <v>0</v>
      </c>
      <c r="AW15" s="165">
        <f t="shared" si="26"/>
        <v>1</v>
      </c>
      <c r="AX15" s="166">
        <v>0</v>
      </c>
      <c r="AY15" s="165">
        <f t="shared" si="27"/>
        <v>1</v>
      </c>
      <c r="AZ15" s="166">
        <v>0</v>
      </c>
      <c r="BA15" s="165">
        <f t="shared" si="28"/>
        <v>1</v>
      </c>
      <c r="BB15" s="216">
        <f t="shared" si="29"/>
        <v>0.64</v>
      </c>
      <c r="BC15" s="168">
        <f t="shared" si="30"/>
        <v>17</v>
      </c>
      <c r="BD15" s="216">
        <f t="shared" si="31"/>
        <v>0.4</v>
      </c>
      <c r="BE15" s="169">
        <f t="shared" si="32"/>
        <v>22</v>
      </c>
      <c r="BF15" s="170">
        <v>0</v>
      </c>
      <c r="BG15" s="171">
        <f t="shared" si="33"/>
        <v>1</v>
      </c>
      <c r="BH15" s="172">
        <v>0</v>
      </c>
      <c r="BI15" s="171">
        <f t="shared" si="34"/>
        <v>1</v>
      </c>
      <c r="BJ15" s="172">
        <v>0</v>
      </c>
      <c r="BK15" s="171">
        <f t="shared" si="35"/>
        <v>1</v>
      </c>
      <c r="BL15" s="172">
        <v>0</v>
      </c>
      <c r="BM15" s="171">
        <f t="shared" si="36"/>
        <v>1</v>
      </c>
      <c r="BN15" s="172">
        <v>3000</v>
      </c>
      <c r="BO15" s="171">
        <f t="shared" si="37"/>
        <v>2</v>
      </c>
      <c r="BP15" s="172">
        <v>3000</v>
      </c>
      <c r="BQ15" s="171">
        <f t="shared" si="38"/>
        <v>2</v>
      </c>
      <c r="BR15" s="172">
        <v>0</v>
      </c>
      <c r="BS15" s="171">
        <f t="shared" si="39"/>
        <v>1</v>
      </c>
      <c r="BT15" s="172">
        <v>0</v>
      </c>
      <c r="BU15" s="171">
        <f t="shared" si="40"/>
        <v>1</v>
      </c>
      <c r="BV15" s="172">
        <v>100</v>
      </c>
      <c r="BW15" s="171">
        <f t="shared" si="41"/>
        <v>2</v>
      </c>
      <c r="BX15" s="172">
        <v>100</v>
      </c>
      <c r="BY15" s="171">
        <f t="shared" si="42"/>
        <v>2</v>
      </c>
      <c r="BZ15" s="167">
        <v>0.72599999999999998</v>
      </c>
      <c r="CA15" s="171">
        <f t="shared" si="43"/>
        <v>1</v>
      </c>
      <c r="CB15" s="167">
        <v>77.725999999999999</v>
      </c>
      <c r="CC15" s="171">
        <f t="shared" si="44"/>
        <v>3</v>
      </c>
      <c r="CD15" s="167">
        <f>AVERAGE(CA15,BW15,BS15,BO15,BK15,BG15)</f>
        <v>1.3333333333333333</v>
      </c>
      <c r="CE15" s="168">
        <f t="shared" si="46"/>
        <v>6</v>
      </c>
      <c r="CF15" s="167">
        <f t="shared" si="47"/>
        <v>1.6666666666666667</v>
      </c>
      <c r="CG15" s="169">
        <f t="shared" si="48"/>
        <v>6</v>
      </c>
      <c r="CH15" s="167">
        <v>1.76</v>
      </c>
      <c r="CI15" s="171">
        <f t="shared" si="49"/>
        <v>10</v>
      </c>
      <c r="CJ15" s="167">
        <v>1.75</v>
      </c>
      <c r="CK15" s="171">
        <f t="shared" si="50"/>
        <v>7</v>
      </c>
      <c r="CL15" s="167">
        <v>8</v>
      </c>
      <c r="CM15" s="171">
        <f t="shared" si="51"/>
        <v>6</v>
      </c>
      <c r="CN15" s="167">
        <v>410</v>
      </c>
      <c r="CO15" s="171">
        <f t="shared" si="52"/>
        <v>13</v>
      </c>
      <c r="CP15" s="167">
        <v>248</v>
      </c>
      <c r="CQ15" s="171">
        <f t="shared" si="53"/>
        <v>10</v>
      </c>
      <c r="CR15" s="167">
        <v>89.6</v>
      </c>
      <c r="CS15" s="171">
        <f t="shared" si="54"/>
        <v>6</v>
      </c>
      <c r="CT15" s="167">
        <f>89.6+3.9</f>
        <v>93.5</v>
      </c>
      <c r="CU15" s="171">
        <f t="shared" si="55"/>
        <v>6</v>
      </c>
      <c r="CV15" s="167">
        <f>14</f>
        <v>14</v>
      </c>
      <c r="CW15" s="171">
        <f t="shared" si="56"/>
        <v>25</v>
      </c>
      <c r="CX15" s="167">
        <v>12.6</v>
      </c>
      <c r="CY15" s="171">
        <f t="shared" si="57"/>
        <v>24</v>
      </c>
      <c r="CZ15" s="167">
        <f t="shared" si="0"/>
        <v>12</v>
      </c>
      <c r="DA15" s="168">
        <f t="shared" si="58"/>
        <v>12</v>
      </c>
      <c r="DB15" s="167">
        <f t="shared" si="59"/>
        <v>10.6</v>
      </c>
      <c r="DC15" s="169">
        <f t="shared" si="1"/>
        <v>9</v>
      </c>
      <c r="DD15" s="173">
        <v>79.400000000000006</v>
      </c>
      <c r="DE15" s="171">
        <f t="shared" si="60"/>
        <v>8</v>
      </c>
      <c r="DF15" s="167">
        <v>4.2</v>
      </c>
      <c r="DG15" s="171">
        <f t="shared" si="61"/>
        <v>1</v>
      </c>
      <c r="DH15" s="174">
        <v>3.1300000000000001E-2</v>
      </c>
      <c r="DI15" s="171">
        <f t="shared" si="62"/>
        <v>4</v>
      </c>
      <c r="DJ15" s="175">
        <v>0.35599999999999998</v>
      </c>
      <c r="DK15" s="171">
        <f t="shared" si="63"/>
        <v>3</v>
      </c>
      <c r="DL15" s="167">
        <v>66.599999999999994</v>
      </c>
      <c r="DM15" s="171">
        <f t="shared" si="64"/>
        <v>5</v>
      </c>
      <c r="DN15" s="167">
        <v>0</v>
      </c>
      <c r="DO15" s="171">
        <f t="shared" si="65"/>
        <v>15</v>
      </c>
      <c r="DP15" s="167">
        <v>22</v>
      </c>
      <c r="DQ15" s="171">
        <f t="shared" si="66"/>
        <v>8</v>
      </c>
      <c r="DR15" s="167">
        <v>86.4</v>
      </c>
      <c r="DS15" s="171">
        <f t="shared" si="67"/>
        <v>5</v>
      </c>
      <c r="DT15" s="167">
        <v>0</v>
      </c>
      <c r="DU15" s="171">
        <f t="shared" si="68"/>
        <v>1</v>
      </c>
      <c r="DV15" s="167">
        <f>AVERAGE(DU15,DS15,DQ15,DM15,DK15,DI15,DG15,DE15)</f>
        <v>4.375</v>
      </c>
      <c r="DW15" s="169">
        <f t="shared" si="70"/>
        <v>2</v>
      </c>
      <c r="DX15" s="176"/>
      <c r="DY15" s="173">
        <v>9.827550399999998</v>
      </c>
      <c r="DZ15" s="171">
        <f t="shared" si="71"/>
        <v>2</v>
      </c>
      <c r="EA15" s="167">
        <v>24.3</v>
      </c>
      <c r="EB15" s="171">
        <f t="shared" si="72"/>
        <v>3</v>
      </c>
      <c r="EC15" s="167">
        <v>0.41</v>
      </c>
      <c r="ED15" s="171">
        <f t="shared" si="73"/>
        <v>5</v>
      </c>
      <c r="EE15" s="167">
        <v>4.28</v>
      </c>
      <c r="EF15" s="171">
        <f t="shared" si="74"/>
        <v>5</v>
      </c>
      <c r="EG15" s="167">
        <v>0.66400000000000003</v>
      </c>
      <c r="EH15" s="171">
        <f t="shared" si="75"/>
        <v>5</v>
      </c>
      <c r="EI15" s="167">
        <v>3.3260000000000001</v>
      </c>
      <c r="EJ15" s="171">
        <f t="shared" si="76"/>
        <v>4</v>
      </c>
      <c r="EK15" s="167">
        <v>0.02</v>
      </c>
      <c r="EL15" s="171">
        <f t="shared" si="77"/>
        <v>8</v>
      </c>
      <c r="EM15" s="167">
        <v>0.14000000000000001</v>
      </c>
      <c r="EN15" s="171">
        <f t="shared" si="78"/>
        <v>5</v>
      </c>
      <c r="EO15" s="167">
        <v>6.0503750000000002E-3</v>
      </c>
      <c r="EP15" s="171">
        <f t="shared" si="79"/>
        <v>4</v>
      </c>
      <c r="EQ15" s="167">
        <v>2.8531673437499998E-2</v>
      </c>
      <c r="ER15" s="171">
        <f t="shared" si="80"/>
        <v>8</v>
      </c>
      <c r="ES15" s="167">
        <v>22.98971460681231</v>
      </c>
      <c r="ET15" s="171">
        <v>4</v>
      </c>
      <c r="EU15" s="167">
        <v>151.56320243552216</v>
      </c>
      <c r="EV15" s="171">
        <v>4</v>
      </c>
      <c r="EW15" s="167">
        <f t="shared" ref="EW15:EW37" si="90">SUM(DY15,EC15,EG15,EK15,EO15)</f>
        <v>10.927600774999997</v>
      </c>
      <c r="EX15" s="165">
        <f t="shared" si="81"/>
        <v>3</v>
      </c>
      <c r="EY15" s="167">
        <f t="shared" si="82"/>
        <v>32.074531673437498</v>
      </c>
      <c r="EZ15" s="165">
        <f t="shared" si="83"/>
        <v>3</v>
      </c>
      <c r="FA15" s="167">
        <f t="shared" si="84"/>
        <v>3.5</v>
      </c>
      <c r="FB15" s="168">
        <f t="shared" si="85"/>
        <v>2</v>
      </c>
      <c r="FC15" s="167">
        <f t="shared" si="86"/>
        <v>3.5</v>
      </c>
      <c r="FD15" s="169">
        <f t="shared" si="87"/>
        <v>2</v>
      </c>
      <c r="FE15" s="167">
        <f t="shared" si="2"/>
        <v>1.67</v>
      </c>
      <c r="FF15" s="168">
        <f t="shared" si="88"/>
        <v>5</v>
      </c>
      <c r="FG15" s="167">
        <f t="shared" si="3"/>
        <v>1.8</v>
      </c>
      <c r="FH15" s="177">
        <f t="shared" si="89"/>
        <v>7</v>
      </c>
      <c r="FI15"/>
    </row>
    <row r="16" spans="1:170">
      <c r="B16" s="676"/>
      <c r="C16" s="163" t="s">
        <v>55</v>
      </c>
      <c r="D16" s="164">
        <v>0</v>
      </c>
      <c r="E16" s="165">
        <f t="shared" si="4"/>
        <v>1</v>
      </c>
      <c r="F16" s="166">
        <v>0</v>
      </c>
      <c r="G16" s="165">
        <f t="shared" si="5"/>
        <v>1</v>
      </c>
      <c r="H16" s="166">
        <v>0</v>
      </c>
      <c r="I16" s="165">
        <f t="shared" si="6"/>
        <v>1</v>
      </c>
      <c r="J16" s="166">
        <v>0</v>
      </c>
      <c r="K16" s="165">
        <f t="shared" si="7"/>
        <v>1</v>
      </c>
      <c r="L16" s="166">
        <v>0</v>
      </c>
      <c r="M16" s="165">
        <f t="shared" si="8"/>
        <v>1</v>
      </c>
      <c r="N16" s="166">
        <v>0</v>
      </c>
      <c r="O16" s="165">
        <f t="shared" si="9"/>
        <v>1</v>
      </c>
      <c r="P16" s="166">
        <v>0</v>
      </c>
      <c r="Q16" s="165">
        <f t="shared" si="10"/>
        <v>1</v>
      </c>
      <c r="R16" s="166">
        <v>0</v>
      </c>
      <c r="S16" s="165">
        <f t="shared" si="11"/>
        <v>1</v>
      </c>
      <c r="T16" s="166">
        <v>0</v>
      </c>
      <c r="U16" s="165">
        <f t="shared" si="12"/>
        <v>1</v>
      </c>
      <c r="V16" s="166">
        <v>0</v>
      </c>
      <c r="W16" s="165">
        <f t="shared" si="13"/>
        <v>1</v>
      </c>
      <c r="X16" s="166">
        <v>0</v>
      </c>
      <c r="Y16" s="165">
        <f t="shared" si="14"/>
        <v>1</v>
      </c>
      <c r="Z16" s="166">
        <v>0</v>
      </c>
      <c r="AA16" s="165">
        <f t="shared" si="15"/>
        <v>1</v>
      </c>
      <c r="AB16" s="166">
        <v>0</v>
      </c>
      <c r="AC16" s="165">
        <f t="shared" si="16"/>
        <v>1</v>
      </c>
      <c r="AD16" s="166">
        <v>0</v>
      </c>
      <c r="AE16" s="165">
        <f t="shared" si="17"/>
        <v>1</v>
      </c>
      <c r="AF16" s="166">
        <v>0</v>
      </c>
      <c r="AG16" s="165">
        <f t="shared" si="18"/>
        <v>1</v>
      </c>
      <c r="AH16" s="166">
        <v>0</v>
      </c>
      <c r="AI16" s="165">
        <f t="shared" si="19"/>
        <v>1</v>
      </c>
      <c r="AJ16" s="166">
        <v>0</v>
      </c>
      <c r="AK16" s="165">
        <f t="shared" si="20"/>
        <v>1</v>
      </c>
      <c r="AL16" s="166">
        <v>0</v>
      </c>
      <c r="AM16" s="165">
        <f t="shared" si="21"/>
        <v>1</v>
      </c>
      <c r="AN16" s="166">
        <v>0</v>
      </c>
      <c r="AO16" s="165">
        <f t="shared" si="22"/>
        <v>1</v>
      </c>
      <c r="AP16" s="166">
        <v>0</v>
      </c>
      <c r="AQ16" s="165">
        <f t="shared" si="23"/>
        <v>1</v>
      </c>
      <c r="AR16" s="166">
        <v>0</v>
      </c>
      <c r="AS16" s="165">
        <f t="shared" si="24"/>
        <v>1</v>
      </c>
      <c r="AT16" s="166">
        <v>0</v>
      </c>
      <c r="AU16" s="165">
        <f t="shared" si="25"/>
        <v>1</v>
      </c>
      <c r="AV16" s="166">
        <v>0</v>
      </c>
      <c r="AW16" s="165">
        <f t="shared" si="26"/>
        <v>1</v>
      </c>
      <c r="AX16" s="166">
        <v>0</v>
      </c>
      <c r="AY16" s="165">
        <f t="shared" si="27"/>
        <v>1</v>
      </c>
      <c r="AZ16" s="166">
        <v>0</v>
      </c>
      <c r="BA16" s="165">
        <f t="shared" si="28"/>
        <v>1</v>
      </c>
      <c r="BB16" s="216">
        <f t="shared" si="29"/>
        <v>0.60000000000000009</v>
      </c>
      <c r="BC16" s="168">
        <f t="shared" si="30"/>
        <v>22</v>
      </c>
      <c r="BD16" s="216">
        <f t="shared" si="31"/>
        <v>0.4</v>
      </c>
      <c r="BE16" s="169">
        <f t="shared" si="32"/>
        <v>22</v>
      </c>
      <c r="BF16" s="170">
        <v>0</v>
      </c>
      <c r="BG16" s="171">
        <f t="shared" si="33"/>
        <v>1</v>
      </c>
      <c r="BH16" s="172">
        <v>0</v>
      </c>
      <c r="BI16" s="171">
        <f>IF((OR(BH16&gt;$BH$45,BH16=$BH$45)),$C$45,IF((AND(BH16&lt;$BH$44,BH16&gt;$BH$43)),$C$44,IF((OR(BH16=$BH$43,AND(BH16&lt;$BH$43,BH16&gt;$BH$42))),$C$43,IF((OR(BH16=$BH$42,AND(BH16&lt;$BH$42,BH16&gt;$BH$41))),$C$42,IF((OR(BH16=$BH$41,BH16&lt;$BH$41)),$C$41)))))</f>
        <v>1</v>
      </c>
      <c r="BJ16" s="172">
        <v>0</v>
      </c>
      <c r="BK16" s="171">
        <f t="shared" si="35"/>
        <v>1</v>
      </c>
      <c r="BL16" s="172">
        <v>0</v>
      </c>
      <c r="BM16" s="171">
        <f t="shared" si="36"/>
        <v>1</v>
      </c>
      <c r="BN16" s="172">
        <v>0</v>
      </c>
      <c r="BO16" s="171">
        <f t="shared" si="37"/>
        <v>1</v>
      </c>
      <c r="BP16" s="172">
        <v>0</v>
      </c>
      <c r="BQ16" s="171">
        <f t="shared" si="38"/>
        <v>1</v>
      </c>
      <c r="BR16" s="172">
        <v>0</v>
      </c>
      <c r="BS16" s="171">
        <f t="shared" si="39"/>
        <v>1</v>
      </c>
      <c r="BT16" s="172">
        <v>0</v>
      </c>
      <c r="BU16" s="171">
        <f t="shared" si="40"/>
        <v>1</v>
      </c>
      <c r="BV16" s="172">
        <v>0</v>
      </c>
      <c r="BW16" s="171">
        <f t="shared" si="41"/>
        <v>1</v>
      </c>
      <c r="BX16" s="172">
        <v>130</v>
      </c>
      <c r="BY16" s="171">
        <f t="shared" si="42"/>
        <v>2</v>
      </c>
      <c r="BZ16" s="167">
        <v>10.5</v>
      </c>
      <c r="CA16" s="171">
        <f t="shared" si="43"/>
        <v>3</v>
      </c>
      <c r="CB16" s="167">
        <v>20.5</v>
      </c>
      <c r="CC16" s="171">
        <f t="shared" si="44"/>
        <v>2</v>
      </c>
      <c r="CD16" s="167">
        <f t="shared" si="45"/>
        <v>1.3333333333333333</v>
      </c>
      <c r="CE16" s="168">
        <f t="shared" si="46"/>
        <v>6</v>
      </c>
      <c r="CF16" s="167">
        <f t="shared" si="47"/>
        <v>1.3333333333333333</v>
      </c>
      <c r="CG16" s="169">
        <f t="shared" si="48"/>
        <v>8</v>
      </c>
      <c r="CH16" s="167">
        <v>0.56000000000000005</v>
      </c>
      <c r="CI16" s="171">
        <f t="shared" si="49"/>
        <v>2</v>
      </c>
      <c r="CJ16" s="167">
        <v>0.74</v>
      </c>
      <c r="CK16" s="171">
        <f t="shared" si="50"/>
        <v>2</v>
      </c>
      <c r="CL16" s="167">
        <v>3</v>
      </c>
      <c r="CM16" s="171">
        <f t="shared" si="51"/>
        <v>19</v>
      </c>
      <c r="CN16" s="167">
        <v>394</v>
      </c>
      <c r="CO16" s="171">
        <f t="shared" si="52"/>
        <v>10</v>
      </c>
      <c r="CP16" s="167">
        <v>288</v>
      </c>
      <c r="CQ16" s="171">
        <f t="shared" si="53"/>
        <v>11</v>
      </c>
      <c r="CR16" s="167">
        <v>54.1</v>
      </c>
      <c r="CS16" s="171">
        <f t="shared" si="54"/>
        <v>15</v>
      </c>
      <c r="CT16" s="167">
        <f>CR16+4.1</f>
        <v>58.2</v>
      </c>
      <c r="CU16" s="171">
        <f t="shared" si="55"/>
        <v>15</v>
      </c>
      <c r="CV16" s="167">
        <v>28.2</v>
      </c>
      <c r="CW16" s="171">
        <f t="shared" si="56"/>
        <v>11</v>
      </c>
      <c r="CX16" s="167">
        <v>26.099999999999998</v>
      </c>
      <c r="CY16" s="171">
        <f t="shared" si="57"/>
        <v>11</v>
      </c>
      <c r="CZ16" s="167">
        <f t="shared" si="0"/>
        <v>11.4</v>
      </c>
      <c r="DA16" s="168">
        <f t="shared" si="58"/>
        <v>8</v>
      </c>
      <c r="DB16" s="167">
        <f t="shared" si="59"/>
        <v>11.6</v>
      </c>
      <c r="DC16" s="169">
        <f t="shared" si="1"/>
        <v>11</v>
      </c>
      <c r="DD16" s="173">
        <v>96.38</v>
      </c>
      <c r="DE16" s="171">
        <f t="shared" si="60"/>
        <v>13</v>
      </c>
      <c r="DF16" s="167">
        <v>3.42</v>
      </c>
      <c r="DG16" s="171">
        <f t="shared" si="61"/>
        <v>14</v>
      </c>
      <c r="DH16" s="174">
        <v>1.533E-2</v>
      </c>
      <c r="DI16" s="171">
        <f t="shared" si="62"/>
        <v>13</v>
      </c>
      <c r="DJ16" s="175">
        <v>0.23300000000000001</v>
      </c>
      <c r="DK16" s="171">
        <f t="shared" si="63"/>
        <v>15</v>
      </c>
      <c r="DL16" s="167">
        <v>20.3</v>
      </c>
      <c r="DM16" s="171">
        <f t="shared" si="64"/>
        <v>15</v>
      </c>
      <c r="DN16" s="167">
        <v>0</v>
      </c>
      <c r="DO16" s="171">
        <f t="shared" si="65"/>
        <v>15</v>
      </c>
      <c r="DP16" s="167">
        <v>52</v>
      </c>
      <c r="DQ16" s="171">
        <f t="shared" si="66"/>
        <v>15</v>
      </c>
      <c r="DR16" s="167">
        <v>86.4</v>
      </c>
      <c r="DS16" s="171">
        <f t="shared" si="67"/>
        <v>5</v>
      </c>
      <c r="DT16" s="167">
        <v>0</v>
      </c>
      <c r="DU16" s="171">
        <f t="shared" si="68"/>
        <v>1</v>
      </c>
      <c r="DV16" s="167">
        <f>AVERAGE(DU16,DS16,DQ16,DM16,DK16,DI16,DG16,DE16)</f>
        <v>11.375</v>
      </c>
      <c r="DW16" s="169">
        <f t="shared" si="70"/>
        <v>14</v>
      </c>
      <c r="DX16" s="176"/>
      <c r="DY16" s="173">
        <v>0.136408</v>
      </c>
      <c r="DZ16" s="171">
        <f t="shared" si="71"/>
        <v>12</v>
      </c>
      <c r="EA16" s="167">
        <v>0.20734016</v>
      </c>
      <c r="EB16" s="171">
        <f t="shared" si="72"/>
        <v>13</v>
      </c>
      <c r="EC16" s="167">
        <v>0</v>
      </c>
      <c r="ED16" s="171">
        <f t="shared" si="73"/>
        <v>9</v>
      </c>
      <c r="EE16" s="167">
        <v>0</v>
      </c>
      <c r="EF16" s="171">
        <f t="shared" si="74"/>
        <v>10</v>
      </c>
      <c r="EG16" s="167">
        <v>0</v>
      </c>
      <c r="EH16" s="171">
        <f t="shared" si="75"/>
        <v>16</v>
      </c>
      <c r="EI16" s="167">
        <v>4.6399999999999997E-2</v>
      </c>
      <c r="EJ16" s="171">
        <f t="shared" si="76"/>
        <v>18</v>
      </c>
      <c r="EK16" s="167">
        <v>3.3999999999999998E-3</v>
      </c>
      <c r="EL16" s="171">
        <f t="shared" si="77"/>
        <v>12</v>
      </c>
      <c r="EM16" s="167">
        <v>0.1</v>
      </c>
      <c r="EN16" s="171">
        <f t="shared" si="78"/>
        <v>8</v>
      </c>
      <c r="EO16" s="167">
        <v>0</v>
      </c>
      <c r="EP16" s="171">
        <f t="shared" si="79"/>
        <v>9</v>
      </c>
      <c r="EQ16" s="167">
        <v>0</v>
      </c>
      <c r="ER16" s="171">
        <f t="shared" si="80"/>
        <v>13</v>
      </c>
      <c r="ES16" s="167">
        <v>22.98971460681231</v>
      </c>
      <c r="ET16" s="171">
        <v>4</v>
      </c>
      <c r="EU16" s="167">
        <v>151.56320243552216</v>
      </c>
      <c r="EV16" s="171">
        <v>4</v>
      </c>
      <c r="EW16" s="167">
        <f t="shared" si="90"/>
        <v>0.13980799999999999</v>
      </c>
      <c r="EX16" s="165">
        <f t="shared" si="81"/>
        <v>15</v>
      </c>
      <c r="EY16" s="167">
        <f t="shared" si="82"/>
        <v>0.35374015999999997</v>
      </c>
      <c r="EZ16" s="165">
        <f t="shared" si="83"/>
        <v>18</v>
      </c>
      <c r="FA16" s="167">
        <f t="shared" si="84"/>
        <v>9.5</v>
      </c>
      <c r="FB16" s="168">
        <f t="shared" si="85"/>
        <v>15</v>
      </c>
      <c r="FC16" s="167">
        <f t="shared" si="86"/>
        <v>11</v>
      </c>
      <c r="FD16" s="169">
        <f t="shared" si="87"/>
        <v>19</v>
      </c>
      <c r="FE16" s="167">
        <f t="shared" si="2"/>
        <v>2.7600000000000002</v>
      </c>
      <c r="FF16" s="168">
        <f t="shared" si="88"/>
        <v>13</v>
      </c>
      <c r="FG16" s="167">
        <f t="shared" si="3"/>
        <v>3.1</v>
      </c>
      <c r="FH16" s="177">
        <f t="shared" si="89"/>
        <v>20</v>
      </c>
      <c r="FI16"/>
      <c r="FN16" s="110"/>
    </row>
    <row r="17" spans="2:170">
      <c r="B17" s="676"/>
      <c r="C17" s="163" t="s">
        <v>27</v>
      </c>
      <c r="D17" s="164">
        <v>0</v>
      </c>
      <c r="E17" s="165">
        <f t="shared" si="4"/>
        <v>1</v>
      </c>
      <c r="F17" s="166">
        <v>0</v>
      </c>
      <c r="G17" s="165">
        <f t="shared" si="5"/>
        <v>1</v>
      </c>
      <c r="H17" s="166">
        <v>0</v>
      </c>
      <c r="I17" s="165">
        <f t="shared" si="6"/>
        <v>1</v>
      </c>
      <c r="J17" s="166">
        <v>0</v>
      </c>
      <c r="K17" s="165">
        <f t="shared" si="7"/>
        <v>1</v>
      </c>
      <c r="L17" s="166">
        <v>0</v>
      </c>
      <c r="M17" s="165">
        <f t="shared" si="8"/>
        <v>1</v>
      </c>
      <c r="N17" s="166">
        <v>0</v>
      </c>
      <c r="O17" s="165">
        <f t="shared" si="9"/>
        <v>1</v>
      </c>
      <c r="P17" s="166">
        <v>0</v>
      </c>
      <c r="Q17" s="165">
        <f t="shared" si="10"/>
        <v>1</v>
      </c>
      <c r="R17" s="166">
        <v>0</v>
      </c>
      <c r="S17" s="165">
        <f t="shared" si="11"/>
        <v>1</v>
      </c>
      <c r="T17" s="166">
        <v>0</v>
      </c>
      <c r="U17" s="165">
        <f t="shared" si="12"/>
        <v>1</v>
      </c>
      <c r="V17" s="166">
        <v>0</v>
      </c>
      <c r="W17" s="165">
        <f t="shared" si="13"/>
        <v>1</v>
      </c>
      <c r="X17" s="166">
        <v>0</v>
      </c>
      <c r="Y17" s="165">
        <f t="shared" si="14"/>
        <v>1</v>
      </c>
      <c r="Z17" s="166">
        <v>0</v>
      </c>
      <c r="AA17" s="165">
        <f t="shared" si="15"/>
        <v>1</v>
      </c>
      <c r="AB17" s="166">
        <v>0</v>
      </c>
      <c r="AC17" s="165">
        <f t="shared" si="16"/>
        <v>1</v>
      </c>
      <c r="AD17" s="166">
        <v>0</v>
      </c>
      <c r="AE17" s="165">
        <f t="shared" si="17"/>
        <v>1</v>
      </c>
      <c r="AF17" s="166">
        <v>0</v>
      </c>
      <c r="AG17" s="165">
        <f t="shared" si="18"/>
        <v>1</v>
      </c>
      <c r="AH17" s="166">
        <v>0</v>
      </c>
      <c r="AI17" s="165">
        <f t="shared" si="19"/>
        <v>1</v>
      </c>
      <c r="AJ17" s="166">
        <v>0</v>
      </c>
      <c r="AK17" s="165">
        <f t="shared" si="20"/>
        <v>1</v>
      </c>
      <c r="AL17" s="166">
        <v>0</v>
      </c>
      <c r="AM17" s="165">
        <f t="shared" si="21"/>
        <v>1</v>
      </c>
      <c r="AN17" s="166">
        <v>0</v>
      </c>
      <c r="AO17" s="165">
        <f t="shared" si="22"/>
        <v>1</v>
      </c>
      <c r="AP17" s="166">
        <v>0</v>
      </c>
      <c r="AQ17" s="165">
        <f t="shared" si="23"/>
        <v>1</v>
      </c>
      <c r="AR17" s="166">
        <v>0</v>
      </c>
      <c r="AS17" s="165">
        <f t="shared" si="24"/>
        <v>1</v>
      </c>
      <c r="AT17" s="166">
        <v>0</v>
      </c>
      <c r="AU17" s="165">
        <f t="shared" si="25"/>
        <v>1</v>
      </c>
      <c r="AV17" s="166">
        <v>0</v>
      </c>
      <c r="AW17" s="165">
        <f t="shared" si="26"/>
        <v>1</v>
      </c>
      <c r="AX17" s="166">
        <v>0</v>
      </c>
      <c r="AY17" s="165">
        <f t="shared" si="27"/>
        <v>1</v>
      </c>
      <c r="AZ17" s="166">
        <v>0</v>
      </c>
      <c r="BA17" s="165">
        <f t="shared" si="28"/>
        <v>1</v>
      </c>
      <c r="BB17" s="216">
        <f t="shared" si="29"/>
        <v>0.60000000000000009</v>
      </c>
      <c r="BC17" s="168">
        <f t="shared" si="30"/>
        <v>22</v>
      </c>
      <c r="BD17" s="216">
        <f t="shared" si="31"/>
        <v>0.4</v>
      </c>
      <c r="BE17" s="169">
        <f t="shared" si="32"/>
        <v>22</v>
      </c>
      <c r="BF17" s="170">
        <v>0</v>
      </c>
      <c r="BG17" s="171">
        <f t="shared" si="33"/>
        <v>1</v>
      </c>
      <c r="BH17" s="172">
        <v>0</v>
      </c>
      <c r="BI17" s="171">
        <f t="shared" si="34"/>
        <v>1</v>
      </c>
      <c r="BJ17" s="172">
        <v>0</v>
      </c>
      <c r="BK17" s="171">
        <f t="shared" si="35"/>
        <v>1</v>
      </c>
      <c r="BL17" s="172">
        <v>160000</v>
      </c>
      <c r="BM17" s="171">
        <f t="shared" si="36"/>
        <v>4</v>
      </c>
      <c r="BN17" s="172">
        <v>38250</v>
      </c>
      <c r="BO17" s="171">
        <f t="shared" si="37"/>
        <v>3</v>
      </c>
      <c r="BP17" s="172">
        <v>138250</v>
      </c>
      <c r="BQ17" s="171">
        <f t="shared" si="38"/>
        <v>3</v>
      </c>
      <c r="BR17" s="172">
        <v>0</v>
      </c>
      <c r="BS17" s="171">
        <f t="shared" si="39"/>
        <v>1</v>
      </c>
      <c r="BT17" s="172">
        <v>0</v>
      </c>
      <c r="BU17" s="171">
        <f t="shared" si="40"/>
        <v>1</v>
      </c>
      <c r="BV17" s="172">
        <v>0</v>
      </c>
      <c r="BW17" s="171">
        <f t="shared" si="41"/>
        <v>1</v>
      </c>
      <c r="BX17" s="172">
        <v>470</v>
      </c>
      <c r="BY17" s="171">
        <f t="shared" si="42"/>
        <v>3</v>
      </c>
      <c r="BZ17" s="167">
        <v>15</v>
      </c>
      <c r="CA17" s="171">
        <f t="shared" si="43"/>
        <v>3</v>
      </c>
      <c r="CB17" s="167">
        <v>65</v>
      </c>
      <c r="CC17" s="171">
        <f t="shared" si="44"/>
        <v>3</v>
      </c>
      <c r="CD17" s="167">
        <f t="shared" si="45"/>
        <v>1.6666666666666667</v>
      </c>
      <c r="CE17" s="168">
        <f t="shared" si="46"/>
        <v>5</v>
      </c>
      <c r="CF17" s="167">
        <f t="shared" si="47"/>
        <v>2.5</v>
      </c>
      <c r="CG17" s="169">
        <f t="shared" si="48"/>
        <v>5</v>
      </c>
      <c r="CH17" s="167">
        <v>1.83</v>
      </c>
      <c r="CI17" s="171">
        <f t="shared" si="49"/>
        <v>11</v>
      </c>
      <c r="CJ17" s="167">
        <v>2.02</v>
      </c>
      <c r="CK17" s="171">
        <f t="shared" si="50"/>
        <v>11</v>
      </c>
      <c r="CL17" s="167">
        <v>7</v>
      </c>
      <c r="CM17" s="171">
        <f t="shared" si="51"/>
        <v>8</v>
      </c>
      <c r="CN17" s="167">
        <v>394</v>
      </c>
      <c r="CO17" s="171">
        <f t="shared" si="52"/>
        <v>10</v>
      </c>
      <c r="CP17" s="167">
        <v>288</v>
      </c>
      <c r="CQ17" s="171">
        <f t="shared" si="53"/>
        <v>11</v>
      </c>
      <c r="CR17" s="167">
        <v>58.9</v>
      </c>
      <c r="CS17" s="171">
        <f t="shared" si="54"/>
        <v>14</v>
      </c>
      <c r="CT17" s="167">
        <f>CR17+4.8</f>
        <v>63.699999999999996</v>
      </c>
      <c r="CU17" s="171">
        <f t="shared" si="55"/>
        <v>13</v>
      </c>
      <c r="CV17" s="167">
        <v>27.1</v>
      </c>
      <c r="CW17" s="171">
        <f t="shared" si="56"/>
        <v>16</v>
      </c>
      <c r="CX17" s="167">
        <v>23.1</v>
      </c>
      <c r="CY17" s="171">
        <f t="shared" si="57"/>
        <v>17</v>
      </c>
      <c r="CZ17" s="167">
        <f t="shared" si="0"/>
        <v>11.8</v>
      </c>
      <c r="DA17" s="168">
        <f t="shared" si="58"/>
        <v>11</v>
      </c>
      <c r="DB17" s="167">
        <f t="shared" si="59"/>
        <v>12</v>
      </c>
      <c r="DC17" s="169">
        <f t="shared" si="1"/>
        <v>12</v>
      </c>
      <c r="DD17" s="173">
        <v>89.66</v>
      </c>
      <c r="DE17" s="171">
        <f t="shared" si="60"/>
        <v>12</v>
      </c>
      <c r="DF17" s="167">
        <v>3.54</v>
      </c>
      <c r="DG17" s="171">
        <f t="shared" si="61"/>
        <v>13</v>
      </c>
      <c r="DH17" s="174">
        <v>1.21E-2</v>
      </c>
      <c r="DI17" s="171">
        <f t="shared" si="62"/>
        <v>15</v>
      </c>
      <c r="DJ17" s="175">
        <v>0.22900000000000001</v>
      </c>
      <c r="DK17" s="171">
        <f t="shared" si="63"/>
        <v>16</v>
      </c>
      <c r="DL17" s="167">
        <v>24.3</v>
      </c>
      <c r="DM17" s="171">
        <f t="shared" si="64"/>
        <v>14</v>
      </c>
      <c r="DN17" s="167">
        <v>0</v>
      </c>
      <c r="DO17" s="171">
        <f t="shared" si="65"/>
        <v>15</v>
      </c>
      <c r="DP17" s="167">
        <v>40</v>
      </c>
      <c r="DQ17" s="171">
        <f t="shared" si="66"/>
        <v>13</v>
      </c>
      <c r="DR17" s="167">
        <v>86.4</v>
      </c>
      <c r="DS17" s="171">
        <f t="shared" si="67"/>
        <v>5</v>
      </c>
      <c r="DT17" s="167">
        <v>0</v>
      </c>
      <c r="DU17" s="171">
        <f t="shared" si="68"/>
        <v>1</v>
      </c>
      <c r="DV17" s="167">
        <f>AVERAGE(DU17,DS17,DQ17,DM17,DK17,DI17,DG17,DE17)</f>
        <v>11.125</v>
      </c>
      <c r="DW17" s="169">
        <f t="shared" si="70"/>
        <v>13</v>
      </c>
      <c r="DX17" s="176"/>
      <c r="DY17" s="173">
        <v>0.1176</v>
      </c>
      <c r="DZ17" s="171">
        <f t="shared" si="71"/>
        <v>13</v>
      </c>
      <c r="EA17" s="167">
        <v>0.17875199999999999</v>
      </c>
      <c r="EB17" s="171">
        <f t="shared" si="72"/>
        <v>14</v>
      </c>
      <c r="EC17" s="167">
        <v>0</v>
      </c>
      <c r="ED17" s="171">
        <f t="shared" si="73"/>
        <v>9</v>
      </c>
      <c r="EE17" s="167">
        <v>0</v>
      </c>
      <c r="EF17" s="171">
        <f t="shared" si="74"/>
        <v>10</v>
      </c>
      <c r="EG17" s="167">
        <v>2.7E-2</v>
      </c>
      <c r="EH17" s="171">
        <f t="shared" si="75"/>
        <v>11</v>
      </c>
      <c r="EI17" s="167">
        <v>4.6399999999999997E-2</v>
      </c>
      <c r="EJ17" s="171">
        <f t="shared" si="76"/>
        <v>18</v>
      </c>
      <c r="EK17" s="167">
        <v>0.02</v>
      </c>
      <c r="EL17" s="171">
        <f t="shared" si="77"/>
        <v>8</v>
      </c>
      <c r="EM17" s="167">
        <v>0.12</v>
      </c>
      <c r="EN17" s="171">
        <f t="shared" si="78"/>
        <v>7</v>
      </c>
      <c r="EO17" s="167">
        <v>0</v>
      </c>
      <c r="EP17" s="171">
        <f t="shared" si="79"/>
        <v>9</v>
      </c>
      <c r="EQ17" s="167">
        <v>0</v>
      </c>
      <c r="ER17" s="171">
        <f t="shared" si="80"/>
        <v>13</v>
      </c>
      <c r="ES17" s="167">
        <v>22.98971460681231</v>
      </c>
      <c r="ET17" s="171">
        <v>4</v>
      </c>
      <c r="EU17" s="167">
        <v>151.56320243552216</v>
      </c>
      <c r="EV17" s="171">
        <v>4</v>
      </c>
      <c r="EW17" s="167">
        <f t="shared" si="90"/>
        <v>0.1646</v>
      </c>
      <c r="EX17" s="165">
        <f t="shared" si="81"/>
        <v>14</v>
      </c>
      <c r="EY17" s="167">
        <f t="shared" si="82"/>
        <v>0.34515200000000001</v>
      </c>
      <c r="EZ17" s="165">
        <f t="shared" si="83"/>
        <v>19</v>
      </c>
      <c r="FA17" s="167">
        <f t="shared" si="84"/>
        <v>9</v>
      </c>
      <c r="FB17" s="168">
        <f t="shared" si="85"/>
        <v>14</v>
      </c>
      <c r="FC17" s="167">
        <f t="shared" si="86"/>
        <v>11.5</v>
      </c>
      <c r="FD17" s="169">
        <f t="shared" si="87"/>
        <v>20</v>
      </c>
      <c r="FE17" s="167">
        <f t="shared" si="2"/>
        <v>2.7700000000000005</v>
      </c>
      <c r="FF17" s="168">
        <f t="shared" si="88"/>
        <v>15</v>
      </c>
      <c r="FG17" s="167">
        <f t="shared" si="3"/>
        <v>3.05</v>
      </c>
      <c r="FH17" s="177">
        <f t="shared" si="89"/>
        <v>15</v>
      </c>
      <c r="FI17"/>
      <c r="FN17" s="110"/>
    </row>
    <row r="18" spans="2:170">
      <c r="B18" s="676"/>
      <c r="C18" s="163" t="s">
        <v>28</v>
      </c>
      <c r="D18" s="164">
        <v>0</v>
      </c>
      <c r="E18" s="165">
        <f t="shared" si="4"/>
        <v>1</v>
      </c>
      <c r="F18" s="166">
        <v>0</v>
      </c>
      <c r="G18" s="165">
        <f t="shared" si="5"/>
        <v>1</v>
      </c>
      <c r="H18" s="166">
        <v>0</v>
      </c>
      <c r="I18" s="165">
        <f t="shared" si="6"/>
        <v>1</v>
      </c>
      <c r="J18" s="166">
        <v>0</v>
      </c>
      <c r="K18" s="165">
        <f t="shared" si="7"/>
        <v>1</v>
      </c>
      <c r="L18" s="166">
        <v>0</v>
      </c>
      <c r="M18" s="165">
        <f t="shared" si="8"/>
        <v>1</v>
      </c>
      <c r="N18" s="166">
        <v>0</v>
      </c>
      <c r="O18" s="165">
        <f t="shared" si="9"/>
        <v>1</v>
      </c>
      <c r="P18" s="166">
        <v>0</v>
      </c>
      <c r="Q18" s="165">
        <f t="shared" si="10"/>
        <v>1</v>
      </c>
      <c r="R18" s="166">
        <v>0</v>
      </c>
      <c r="S18" s="165">
        <f t="shared" si="11"/>
        <v>1</v>
      </c>
      <c r="T18" s="166">
        <v>0</v>
      </c>
      <c r="U18" s="165">
        <f t="shared" si="12"/>
        <v>1</v>
      </c>
      <c r="V18" s="166">
        <v>0</v>
      </c>
      <c r="W18" s="165">
        <f t="shared" si="13"/>
        <v>1</v>
      </c>
      <c r="X18" s="166">
        <v>0</v>
      </c>
      <c r="Y18" s="165">
        <f t="shared" si="14"/>
        <v>1</v>
      </c>
      <c r="Z18" s="166">
        <v>0</v>
      </c>
      <c r="AA18" s="165">
        <f t="shared" si="15"/>
        <v>1</v>
      </c>
      <c r="AB18" s="166">
        <v>0</v>
      </c>
      <c r="AC18" s="165">
        <f t="shared" si="16"/>
        <v>1</v>
      </c>
      <c r="AD18" s="166">
        <v>6.5</v>
      </c>
      <c r="AE18" s="165">
        <f t="shared" si="17"/>
        <v>2</v>
      </c>
      <c r="AF18" s="166">
        <v>0</v>
      </c>
      <c r="AG18" s="165">
        <f t="shared" si="18"/>
        <v>1</v>
      </c>
      <c r="AH18" s="166">
        <v>0</v>
      </c>
      <c r="AI18" s="165">
        <f t="shared" si="19"/>
        <v>1</v>
      </c>
      <c r="AJ18" s="166">
        <v>0</v>
      </c>
      <c r="AK18" s="165">
        <f t="shared" si="20"/>
        <v>1</v>
      </c>
      <c r="AL18" s="166">
        <v>0</v>
      </c>
      <c r="AM18" s="165">
        <f t="shared" si="21"/>
        <v>1</v>
      </c>
      <c r="AN18" s="166">
        <v>0</v>
      </c>
      <c r="AO18" s="165">
        <f t="shared" si="22"/>
        <v>1</v>
      </c>
      <c r="AP18" s="166">
        <v>0</v>
      </c>
      <c r="AQ18" s="165">
        <f t="shared" si="23"/>
        <v>1</v>
      </c>
      <c r="AR18" s="166">
        <v>0</v>
      </c>
      <c r="AS18" s="165">
        <f t="shared" si="24"/>
        <v>1</v>
      </c>
      <c r="AT18" s="166">
        <v>0</v>
      </c>
      <c r="AU18" s="165">
        <f t="shared" si="25"/>
        <v>1</v>
      </c>
      <c r="AV18" s="166">
        <v>0</v>
      </c>
      <c r="AW18" s="165">
        <f t="shared" si="26"/>
        <v>1</v>
      </c>
      <c r="AX18" s="166">
        <v>0</v>
      </c>
      <c r="AY18" s="165">
        <f t="shared" si="27"/>
        <v>1</v>
      </c>
      <c r="AZ18" s="166">
        <v>0</v>
      </c>
      <c r="BA18" s="165">
        <f t="shared" si="28"/>
        <v>1</v>
      </c>
      <c r="BB18" s="216">
        <f t="shared" si="29"/>
        <v>0.60000000000000009</v>
      </c>
      <c r="BC18" s="168">
        <f t="shared" si="30"/>
        <v>22</v>
      </c>
      <c r="BD18" s="216">
        <f t="shared" si="31"/>
        <v>0.44000000000000006</v>
      </c>
      <c r="BE18" s="169">
        <f t="shared" si="32"/>
        <v>17</v>
      </c>
      <c r="BF18" s="170">
        <v>0</v>
      </c>
      <c r="BG18" s="171">
        <f t="shared" si="33"/>
        <v>1</v>
      </c>
      <c r="BH18" s="172">
        <v>0</v>
      </c>
      <c r="BI18" s="171">
        <f t="shared" si="34"/>
        <v>1</v>
      </c>
      <c r="BJ18" s="172">
        <v>0</v>
      </c>
      <c r="BK18" s="171">
        <f t="shared" si="35"/>
        <v>1</v>
      </c>
      <c r="BL18" s="172">
        <v>0</v>
      </c>
      <c r="BM18" s="171">
        <f t="shared" si="36"/>
        <v>1</v>
      </c>
      <c r="BN18" s="172">
        <v>0</v>
      </c>
      <c r="BO18" s="171">
        <f t="shared" si="37"/>
        <v>1</v>
      </c>
      <c r="BP18" s="172">
        <v>60000</v>
      </c>
      <c r="BQ18" s="171">
        <f t="shared" si="38"/>
        <v>3</v>
      </c>
      <c r="BR18" s="172">
        <v>0</v>
      </c>
      <c r="BS18" s="171">
        <f t="shared" si="39"/>
        <v>1</v>
      </c>
      <c r="BT18" s="172">
        <v>0</v>
      </c>
      <c r="BU18" s="171">
        <f t="shared" si="40"/>
        <v>1</v>
      </c>
      <c r="BV18" s="172">
        <v>0</v>
      </c>
      <c r="BW18" s="171">
        <f t="shared" si="41"/>
        <v>1</v>
      </c>
      <c r="BX18" s="172">
        <v>0</v>
      </c>
      <c r="BY18" s="171">
        <f t="shared" si="42"/>
        <v>1</v>
      </c>
      <c r="BZ18" s="167">
        <v>0</v>
      </c>
      <c r="CA18" s="171">
        <f t="shared" si="43"/>
        <v>1</v>
      </c>
      <c r="CB18" s="167">
        <v>32.125</v>
      </c>
      <c r="CC18" s="171">
        <f t="shared" si="44"/>
        <v>2</v>
      </c>
      <c r="CD18" s="167">
        <f t="shared" si="45"/>
        <v>1</v>
      </c>
      <c r="CE18" s="168">
        <f t="shared" si="46"/>
        <v>13</v>
      </c>
      <c r="CF18" s="167">
        <f t="shared" si="47"/>
        <v>1.5</v>
      </c>
      <c r="CG18" s="169">
        <f t="shared" si="48"/>
        <v>7</v>
      </c>
      <c r="CH18" s="167">
        <v>1.62</v>
      </c>
      <c r="CI18" s="171">
        <f t="shared" si="49"/>
        <v>7</v>
      </c>
      <c r="CJ18" s="167">
        <v>1.65</v>
      </c>
      <c r="CK18" s="171">
        <f t="shared" si="50"/>
        <v>6</v>
      </c>
      <c r="CL18" s="167">
        <v>6</v>
      </c>
      <c r="CM18" s="171">
        <f t="shared" si="51"/>
        <v>12</v>
      </c>
      <c r="CN18" s="167">
        <v>63</v>
      </c>
      <c r="CO18" s="171">
        <f t="shared" si="52"/>
        <v>3</v>
      </c>
      <c r="CP18" s="167">
        <v>36</v>
      </c>
      <c r="CQ18" s="171">
        <f t="shared" si="53"/>
        <v>2</v>
      </c>
      <c r="CR18" s="167">
        <v>98.4</v>
      </c>
      <c r="CS18" s="171">
        <f t="shared" si="54"/>
        <v>2</v>
      </c>
      <c r="CT18" s="167">
        <v>100</v>
      </c>
      <c r="CU18" s="171">
        <f t="shared" si="55"/>
        <v>1</v>
      </c>
      <c r="CV18" s="167">
        <v>22.4</v>
      </c>
      <c r="CW18" s="171">
        <f t="shared" si="56"/>
        <v>20</v>
      </c>
      <c r="CX18" s="167">
        <v>21.099999999999998</v>
      </c>
      <c r="CY18" s="171">
        <f t="shared" si="57"/>
        <v>19</v>
      </c>
      <c r="CZ18" s="167">
        <f t="shared" si="0"/>
        <v>8.8000000000000007</v>
      </c>
      <c r="DA18" s="168">
        <f t="shared" si="58"/>
        <v>3</v>
      </c>
      <c r="DB18" s="167">
        <f t="shared" si="59"/>
        <v>8</v>
      </c>
      <c r="DC18" s="169">
        <f t="shared" si="1"/>
        <v>3</v>
      </c>
      <c r="DD18" s="173">
        <v>82.05</v>
      </c>
      <c r="DE18" s="171">
        <f t="shared" si="60"/>
        <v>9</v>
      </c>
      <c r="DF18" s="167">
        <v>4.05</v>
      </c>
      <c r="DG18" s="171">
        <f t="shared" si="61"/>
        <v>2</v>
      </c>
      <c r="DH18" s="174">
        <v>3.32E-2</v>
      </c>
      <c r="DI18" s="171">
        <f t="shared" si="62"/>
        <v>2</v>
      </c>
      <c r="DJ18" s="175">
        <v>0.27500000000000002</v>
      </c>
      <c r="DK18" s="171">
        <f t="shared" si="63"/>
        <v>8</v>
      </c>
      <c r="DL18" s="167">
        <v>73.5</v>
      </c>
      <c r="DM18" s="171">
        <f t="shared" si="64"/>
        <v>1</v>
      </c>
      <c r="DN18" s="167">
        <v>82</v>
      </c>
      <c r="DO18" s="171">
        <f t="shared" si="65"/>
        <v>3</v>
      </c>
      <c r="DP18" s="167">
        <v>10</v>
      </c>
      <c r="DQ18" s="171">
        <f t="shared" si="66"/>
        <v>4</v>
      </c>
      <c r="DR18" s="167">
        <v>86.4</v>
      </c>
      <c r="DS18" s="171">
        <f t="shared" si="67"/>
        <v>5</v>
      </c>
      <c r="DT18" s="167">
        <v>0</v>
      </c>
      <c r="DU18" s="171">
        <f t="shared" si="68"/>
        <v>1</v>
      </c>
      <c r="DV18" s="167">
        <f t="shared" si="69"/>
        <v>3.8888888888888888</v>
      </c>
      <c r="DW18" s="169">
        <f t="shared" si="70"/>
        <v>1</v>
      </c>
      <c r="DX18" s="176"/>
      <c r="DY18" s="173">
        <v>2.370276</v>
      </c>
      <c r="DZ18" s="171">
        <f t="shared" si="71"/>
        <v>6</v>
      </c>
      <c r="EA18" s="167">
        <v>11.17</v>
      </c>
      <c r="EB18" s="171">
        <f t="shared" si="72"/>
        <v>7</v>
      </c>
      <c r="EC18" s="167">
        <v>0</v>
      </c>
      <c r="ED18" s="171">
        <f t="shared" si="73"/>
        <v>9</v>
      </c>
      <c r="EE18" s="167">
        <v>0</v>
      </c>
      <c r="EF18" s="171">
        <f t="shared" si="74"/>
        <v>10</v>
      </c>
      <c r="EG18" s="167">
        <v>0</v>
      </c>
      <c r="EH18" s="171">
        <f t="shared" si="75"/>
        <v>16</v>
      </c>
      <c r="EI18" s="167">
        <v>0.11142857142857143</v>
      </c>
      <c r="EJ18" s="171">
        <f t="shared" si="76"/>
        <v>16</v>
      </c>
      <c r="EK18" s="167">
        <v>7.0000000000000007E-2</v>
      </c>
      <c r="EL18" s="171">
        <f t="shared" si="77"/>
        <v>4</v>
      </c>
      <c r="EM18" s="167">
        <v>0.1</v>
      </c>
      <c r="EN18" s="171">
        <f t="shared" si="78"/>
        <v>8</v>
      </c>
      <c r="EO18" s="167">
        <v>0</v>
      </c>
      <c r="EP18" s="171">
        <f t="shared" si="79"/>
        <v>9</v>
      </c>
      <c r="EQ18" s="167">
        <v>0</v>
      </c>
      <c r="ER18" s="171">
        <f t="shared" si="80"/>
        <v>13</v>
      </c>
      <c r="ES18" s="167">
        <v>22.98971460681231</v>
      </c>
      <c r="ET18" s="171">
        <v>4</v>
      </c>
      <c r="EU18" s="167">
        <v>151.56320243552216</v>
      </c>
      <c r="EV18" s="171">
        <v>4</v>
      </c>
      <c r="EW18" s="167">
        <f t="shared" si="90"/>
        <v>2.4402759999999999</v>
      </c>
      <c r="EX18" s="165">
        <f t="shared" si="81"/>
        <v>7</v>
      </c>
      <c r="EY18" s="167">
        <f t="shared" si="82"/>
        <v>11.381428571428572</v>
      </c>
      <c r="EZ18" s="165">
        <f t="shared" si="83"/>
        <v>7</v>
      </c>
      <c r="FA18" s="167">
        <f t="shared" si="84"/>
        <v>5.5</v>
      </c>
      <c r="FB18" s="168">
        <f t="shared" si="85"/>
        <v>8</v>
      </c>
      <c r="FC18" s="167">
        <f t="shared" si="86"/>
        <v>5.5</v>
      </c>
      <c r="FD18" s="169">
        <f t="shared" si="87"/>
        <v>8</v>
      </c>
      <c r="FE18" s="167">
        <f t="shared" si="2"/>
        <v>1.9700000000000002</v>
      </c>
      <c r="FF18" s="168">
        <f t="shared" si="88"/>
        <v>10</v>
      </c>
      <c r="FG18" s="167">
        <f t="shared" si="3"/>
        <v>1.54</v>
      </c>
      <c r="FH18" s="177">
        <f t="shared" si="89"/>
        <v>5</v>
      </c>
      <c r="FI18"/>
    </row>
    <row r="19" spans="2:170">
      <c r="B19" s="676"/>
      <c r="C19" s="163" t="s">
        <v>83</v>
      </c>
      <c r="D19" s="164">
        <v>100</v>
      </c>
      <c r="E19" s="165">
        <f t="shared" si="4"/>
        <v>2</v>
      </c>
      <c r="F19" s="166">
        <v>2.8</v>
      </c>
      <c r="G19" s="165">
        <f t="shared" si="5"/>
        <v>2</v>
      </c>
      <c r="H19" s="166">
        <v>14.9</v>
      </c>
      <c r="I19" s="165">
        <f t="shared" si="6"/>
        <v>2</v>
      </c>
      <c r="J19" s="166">
        <v>2.8</v>
      </c>
      <c r="K19" s="165">
        <f t="shared" si="7"/>
        <v>2</v>
      </c>
      <c r="L19" s="166">
        <v>14.9</v>
      </c>
      <c r="M19" s="165">
        <f t="shared" si="8"/>
        <v>2</v>
      </c>
      <c r="N19" s="166">
        <v>0</v>
      </c>
      <c r="O19" s="165">
        <f t="shared" si="9"/>
        <v>1</v>
      </c>
      <c r="P19" s="166">
        <v>0</v>
      </c>
      <c r="Q19" s="165">
        <f t="shared" si="10"/>
        <v>1</v>
      </c>
      <c r="R19" s="166">
        <v>0</v>
      </c>
      <c r="S19" s="165">
        <f t="shared" si="11"/>
        <v>1</v>
      </c>
      <c r="T19" s="166">
        <v>0</v>
      </c>
      <c r="U19" s="165">
        <f t="shared" si="12"/>
        <v>1</v>
      </c>
      <c r="V19" s="166">
        <v>0</v>
      </c>
      <c r="W19" s="165">
        <f t="shared" si="13"/>
        <v>1</v>
      </c>
      <c r="X19" s="166">
        <v>0</v>
      </c>
      <c r="Y19" s="165">
        <f t="shared" si="14"/>
        <v>1</v>
      </c>
      <c r="Z19" s="166">
        <v>43.1</v>
      </c>
      <c r="AA19" s="165">
        <f t="shared" si="15"/>
        <v>3</v>
      </c>
      <c r="AB19" s="166">
        <v>66</v>
      </c>
      <c r="AC19" s="165">
        <f t="shared" si="16"/>
        <v>2</v>
      </c>
      <c r="AD19" s="166">
        <v>43.1</v>
      </c>
      <c r="AE19" s="165">
        <f t="shared" si="17"/>
        <v>3</v>
      </c>
      <c r="AF19" s="166">
        <v>66</v>
      </c>
      <c r="AG19" s="165">
        <f t="shared" si="18"/>
        <v>2</v>
      </c>
      <c r="AH19" s="166">
        <v>0</v>
      </c>
      <c r="AI19" s="165">
        <f t="shared" si="19"/>
        <v>1</v>
      </c>
      <c r="AJ19" s="166">
        <v>0</v>
      </c>
      <c r="AK19" s="165">
        <f t="shared" si="20"/>
        <v>1</v>
      </c>
      <c r="AL19" s="166">
        <v>0</v>
      </c>
      <c r="AM19" s="165">
        <f t="shared" si="21"/>
        <v>1</v>
      </c>
      <c r="AN19" s="166">
        <v>0</v>
      </c>
      <c r="AO19" s="165">
        <f t="shared" si="22"/>
        <v>1</v>
      </c>
      <c r="AP19" s="166">
        <v>0</v>
      </c>
      <c r="AQ19" s="165">
        <f t="shared" si="23"/>
        <v>1</v>
      </c>
      <c r="AR19" s="166">
        <v>0</v>
      </c>
      <c r="AS19" s="165">
        <f t="shared" si="24"/>
        <v>1</v>
      </c>
      <c r="AT19" s="166">
        <v>0</v>
      </c>
      <c r="AU19" s="165">
        <f t="shared" si="25"/>
        <v>1</v>
      </c>
      <c r="AV19" s="166">
        <v>0</v>
      </c>
      <c r="AW19" s="165">
        <f t="shared" si="26"/>
        <v>1</v>
      </c>
      <c r="AX19" s="166">
        <v>0</v>
      </c>
      <c r="AY19" s="165">
        <f t="shared" si="27"/>
        <v>1</v>
      </c>
      <c r="AZ19" s="166">
        <v>0</v>
      </c>
      <c r="BA19" s="165">
        <f t="shared" si="28"/>
        <v>1</v>
      </c>
      <c r="BB19" s="216">
        <f t="shared" si="29"/>
        <v>0.84000000000000019</v>
      </c>
      <c r="BC19" s="168">
        <f t="shared" si="30"/>
        <v>11</v>
      </c>
      <c r="BD19" s="216">
        <f t="shared" si="31"/>
        <v>0.6</v>
      </c>
      <c r="BE19" s="169">
        <f t="shared" si="32"/>
        <v>10</v>
      </c>
      <c r="BF19" s="170">
        <v>0</v>
      </c>
      <c r="BG19" s="171">
        <f t="shared" si="33"/>
        <v>1</v>
      </c>
      <c r="BH19" s="172">
        <v>0</v>
      </c>
      <c r="BI19" s="171">
        <f t="shared" si="34"/>
        <v>1</v>
      </c>
      <c r="BJ19" s="172">
        <v>0</v>
      </c>
      <c r="BK19" s="171">
        <f t="shared" si="35"/>
        <v>1</v>
      </c>
      <c r="BL19" s="172">
        <v>0</v>
      </c>
      <c r="BM19" s="171">
        <f t="shared" si="36"/>
        <v>1</v>
      </c>
      <c r="BN19" s="172">
        <v>0</v>
      </c>
      <c r="BO19" s="171">
        <f t="shared" si="37"/>
        <v>1</v>
      </c>
      <c r="BP19" s="172">
        <v>50000</v>
      </c>
      <c r="BQ19" s="171">
        <f t="shared" si="38"/>
        <v>3</v>
      </c>
      <c r="BR19" s="172">
        <v>0</v>
      </c>
      <c r="BS19" s="171">
        <f t="shared" si="39"/>
        <v>1</v>
      </c>
      <c r="BT19" s="172">
        <v>0</v>
      </c>
      <c r="BU19" s="171">
        <f t="shared" si="40"/>
        <v>1</v>
      </c>
      <c r="BV19" s="172">
        <v>0</v>
      </c>
      <c r="BW19" s="171">
        <f t="shared" si="41"/>
        <v>1</v>
      </c>
      <c r="BX19" s="172">
        <v>0</v>
      </c>
      <c r="BY19" s="171">
        <f t="shared" si="42"/>
        <v>1</v>
      </c>
      <c r="BZ19" s="167">
        <v>0.1</v>
      </c>
      <c r="CA19" s="171">
        <f t="shared" si="43"/>
        <v>1</v>
      </c>
      <c r="CB19" s="167">
        <v>0.1</v>
      </c>
      <c r="CC19" s="171">
        <f t="shared" si="44"/>
        <v>1</v>
      </c>
      <c r="CD19" s="167">
        <f t="shared" si="45"/>
        <v>1</v>
      </c>
      <c r="CE19" s="168">
        <f t="shared" si="46"/>
        <v>13</v>
      </c>
      <c r="CF19" s="167">
        <f t="shared" si="47"/>
        <v>1.3333333333333333</v>
      </c>
      <c r="CG19" s="169">
        <f t="shared" si="48"/>
        <v>8</v>
      </c>
      <c r="CH19" s="167">
        <v>1.48</v>
      </c>
      <c r="CI19" s="171">
        <f t="shared" si="49"/>
        <v>6</v>
      </c>
      <c r="CJ19" s="167">
        <v>1.76</v>
      </c>
      <c r="CK19" s="171">
        <f t="shared" si="50"/>
        <v>8</v>
      </c>
      <c r="CL19" s="167">
        <v>3</v>
      </c>
      <c r="CM19" s="171">
        <f t="shared" si="51"/>
        <v>19</v>
      </c>
      <c r="CN19" s="167">
        <v>63</v>
      </c>
      <c r="CO19" s="171">
        <f t="shared" si="52"/>
        <v>3</v>
      </c>
      <c r="CP19" s="167">
        <v>36</v>
      </c>
      <c r="CQ19" s="171">
        <f t="shared" si="53"/>
        <v>2</v>
      </c>
      <c r="CR19" s="167">
        <v>99.3</v>
      </c>
      <c r="CS19" s="171">
        <f t="shared" si="54"/>
        <v>1</v>
      </c>
      <c r="CT19" s="167">
        <v>100</v>
      </c>
      <c r="CU19" s="171">
        <f t="shared" si="55"/>
        <v>1</v>
      </c>
      <c r="CV19" s="167">
        <v>20.8</v>
      </c>
      <c r="CW19" s="171">
        <f t="shared" si="56"/>
        <v>21</v>
      </c>
      <c r="CX19" s="167">
        <v>18.5</v>
      </c>
      <c r="CY19" s="171">
        <f t="shared" si="57"/>
        <v>20</v>
      </c>
      <c r="CZ19" s="167">
        <f t="shared" si="0"/>
        <v>10</v>
      </c>
      <c r="DA19" s="168">
        <f t="shared" si="58"/>
        <v>5</v>
      </c>
      <c r="DB19" s="167">
        <f t="shared" si="59"/>
        <v>10</v>
      </c>
      <c r="DC19" s="169">
        <f t="shared" si="1"/>
        <v>6</v>
      </c>
      <c r="DD19" s="173">
        <v>71.5</v>
      </c>
      <c r="DE19" s="171">
        <f t="shared" si="60"/>
        <v>6</v>
      </c>
      <c r="DF19" s="167">
        <v>3.97</v>
      </c>
      <c r="DG19" s="171">
        <f t="shared" si="61"/>
        <v>5</v>
      </c>
      <c r="DH19" s="174">
        <v>2.7550000000000002E-2</v>
      </c>
      <c r="DI19" s="171">
        <f t="shared" si="62"/>
        <v>6</v>
      </c>
      <c r="DJ19" s="175">
        <v>0.27300000000000002</v>
      </c>
      <c r="DK19" s="171">
        <f t="shared" si="63"/>
        <v>9</v>
      </c>
      <c r="DL19" s="167">
        <v>58.5</v>
      </c>
      <c r="DM19" s="171">
        <f t="shared" si="64"/>
        <v>7</v>
      </c>
      <c r="DN19" s="167">
        <v>92</v>
      </c>
      <c r="DO19" s="171">
        <f t="shared" si="65"/>
        <v>2</v>
      </c>
      <c r="DP19" s="167">
        <v>20</v>
      </c>
      <c r="DQ19" s="171">
        <f t="shared" si="66"/>
        <v>6</v>
      </c>
      <c r="DR19" s="167">
        <v>86.4</v>
      </c>
      <c r="DS19" s="171">
        <f t="shared" si="67"/>
        <v>5</v>
      </c>
      <c r="DT19" s="167">
        <v>0.02</v>
      </c>
      <c r="DU19" s="171">
        <f t="shared" si="68"/>
        <v>12</v>
      </c>
      <c r="DV19" s="167">
        <f t="shared" si="69"/>
        <v>6.4444444444444446</v>
      </c>
      <c r="DW19" s="169">
        <f t="shared" si="70"/>
        <v>3</v>
      </c>
      <c r="DX19" s="176"/>
      <c r="DY19" s="173">
        <v>0.16656599999999999</v>
      </c>
      <c r="DZ19" s="171">
        <f t="shared" si="71"/>
        <v>11</v>
      </c>
      <c r="EA19" s="167">
        <v>0.25318032000000001</v>
      </c>
      <c r="EB19" s="171">
        <f t="shared" si="72"/>
        <v>12</v>
      </c>
      <c r="EC19" s="167">
        <v>0</v>
      </c>
      <c r="ED19" s="171">
        <f t="shared" si="73"/>
        <v>9</v>
      </c>
      <c r="EE19" s="167">
        <v>0</v>
      </c>
      <c r="EF19" s="171">
        <f t="shared" si="74"/>
        <v>10</v>
      </c>
      <c r="EG19" s="167">
        <v>0</v>
      </c>
      <c r="EH19" s="171">
        <f t="shared" si="75"/>
        <v>16</v>
      </c>
      <c r="EI19" s="167">
        <v>0.111</v>
      </c>
      <c r="EJ19" s="171">
        <f t="shared" si="76"/>
        <v>17</v>
      </c>
      <c r="EK19" s="167">
        <v>0.01</v>
      </c>
      <c r="EL19" s="171">
        <f t="shared" si="77"/>
        <v>11</v>
      </c>
      <c r="EM19" s="167">
        <v>0.04</v>
      </c>
      <c r="EN19" s="171">
        <f t="shared" si="78"/>
        <v>13</v>
      </c>
      <c r="EO19" s="167">
        <v>0</v>
      </c>
      <c r="EP19" s="171">
        <f t="shared" si="79"/>
        <v>9</v>
      </c>
      <c r="EQ19" s="167">
        <v>0</v>
      </c>
      <c r="ER19" s="171">
        <f t="shared" si="80"/>
        <v>13</v>
      </c>
      <c r="ES19" s="167">
        <v>22.98971460681231</v>
      </c>
      <c r="ET19" s="171">
        <v>4</v>
      </c>
      <c r="EU19" s="167">
        <v>151.56320243552216</v>
      </c>
      <c r="EV19" s="171">
        <v>4</v>
      </c>
      <c r="EW19" s="167">
        <f t="shared" si="90"/>
        <v>0.176566</v>
      </c>
      <c r="EX19" s="165">
        <f t="shared" si="81"/>
        <v>12</v>
      </c>
      <c r="EY19" s="167">
        <f t="shared" si="82"/>
        <v>0.40418031999999998</v>
      </c>
      <c r="EZ19" s="165">
        <f t="shared" si="83"/>
        <v>17</v>
      </c>
      <c r="FA19" s="167">
        <f t="shared" si="84"/>
        <v>8</v>
      </c>
      <c r="FB19" s="168">
        <f t="shared" si="85"/>
        <v>13</v>
      </c>
      <c r="FC19" s="167">
        <f t="shared" si="86"/>
        <v>10.5</v>
      </c>
      <c r="FD19" s="169">
        <f t="shared" si="87"/>
        <v>16</v>
      </c>
      <c r="FE19" s="167">
        <f t="shared" si="2"/>
        <v>1.78</v>
      </c>
      <c r="FF19" s="168">
        <f t="shared" si="88"/>
        <v>7</v>
      </c>
      <c r="FG19" s="167">
        <f t="shared" si="3"/>
        <v>1.7399999999999998</v>
      </c>
      <c r="FH19" s="177">
        <f t="shared" si="89"/>
        <v>6</v>
      </c>
      <c r="FI19"/>
    </row>
    <row r="20" spans="2:170">
      <c r="B20" s="676"/>
      <c r="C20" s="163" t="s">
        <v>24</v>
      </c>
      <c r="D20" s="164">
        <v>0</v>
      </c>
      <c r="E20" s="165">
        <f t="shared" si="4"/>
        <v>1</v>
      </c>
      <c r="F20" s="166">
        <v>0</v>
      </c>
      <c r="G20" s="165">
        <f t="shared" si="5"/>
        <v>1</v>
      </c>
      <c r="H20" s="166">
        <v>0</v>
      </c>
      <c r="I20" s="165">
        <f t="shared" si="6"/>
        <v>1</v>
      </c>
      <c r="J20" s="166">
        <v>0</v>
      </c>
      <c r="K20" s="165">
        <f t="shared" si="7"/>
        <v>1</v>
      </c>
      <c r="L20" s="166">
        <v>0</v>
      </c>
      <c r="M20" s="165">
        <f t="shared" si="8"/>
        <v>1</v>
      </c>
      <c r="N20" s="166">
        <v>0</v>
      </c>
      <c r="O20" s="165">
        <f t="shared" si="9"/>
        <v>1</v>
      </c>
      <c r="P20" s="166">
        <v>0</v>
      </c>
      <c r="Q20" s="165">
        <f t="shared" si="10"/>
        <v>1</v>
      </c>
      <c r="R20" s="166">
        <v>0</v>
      </c>
      <c r="S20" s="165">
        <f t="shared" si="11"/>
        <v>1</v>
      </c>
      <c r="T20" s="166">
        <v>0</v>
      </c>
      <c r="U20" s="165">
        <f t="shared" si="12"/>
        <v>1</v>
      </c>
      <c r="V20" s="166">
        <v>0</v>
      </c>
      <c r="W20" s="165">
        <f t="shared" si="13"/>
        <v>1</v>
      </c>
      <c r="X20" s="166">
        <v>0</v>
      </c>
      <c r="Y20" s="165">
        <f t="shared" si="14"/>
        <v>1</v>
      </c>
      <c r="Z20" s="166">
        <v>0</v>
      </c>
      <c r="AA20" s="165">
        <f t="shared" si="15"/>
        <v>1</v>
      </c>
      <c r="AB20" s="166">
        <v>40</v>
      </c>
      <c r="AC20" s="165">
        <f t="shared" si="16"/>
        <v>2</v>
      </c>
      <c r="AD20" s="166">
        <v>0</v>
      </c>
      <c r="AE20" s="165">
        <f t="shared" si="17"/>
        <v>1</v>
      </c>
      <c r="AF20" s="166">
        <v>40</v>
      </c>
      <c r="AG20" s="165">
        <f t="shared" si="18"/>
        <v>2</v>
      </c>
      <c r="AH20" s="166">
        <v>0</v>
      </c>
      <c r="AI20" s="165">
        <f t="shared" si="19"/>
        <v>1</v>
      </c>
      <c r="AJ20" s="166">
        <v>0</v>
      </c>
      <c r="AK20" s="165">
        <f t="shared" si="20"/>
        <v>1</v>
      </c>
      <c r="AL20" s="166">
        <v>0</v>
      </c>
      <c r="AM20" s="165">
        <f t="shared" si="21"/>
        <v>1</v>
      </c>
      <c r="AN20" s="166">
        <v>0</v>
      </c>
      <c r="AO20" s="165">
        <f t="shared" si="22"/>
        <v>1</v>
      </c>
      <c r="AP20" s="166">
        <v>0</v>
      </c>
      <c r="AQ20" s="165">
        <f t="shared" si="23"/>
        <v>1</v>
      </c>
      <c r="AR20" s="166">
        <v>0</v>
      </c>
      <c r="AS20" s="165">
        <f t="shared" si="24"/>
        <v>1</v>
      </c>
      <c r="AT20" s="166">
        <v>0</v>
      </c>
      <c r="AU20" s="165">
        <f t="shared" si="25"/>
        <v>1</v>
      </c>
      <c r="AV20" s="166">
        <v>0</v>
      </c>
      <c r="AW20" s="165">
        <f t="shared" si="26"/>
        <v>1</v>
      </c>
      <c r="AX20" s="166">
        <v>0</v>
      </c>
      <c r="AY20" s="165">
        <f t="shared" si="27"/>
        <v>1</v>
      </c>
      <c r="AZ20" s="166">
        <v>0</v>
      </c>
      <c r="BA20" s="165">
        <f t="shared" si="28"/>
        <v>1</v>
      </c>
      <c r="BB20" s="216">
        <f t="shared" si="29"/>
        <v>0.64</v>
      </c>
      <c r="BC20" s="168">
        <f t="shared" si="30"/>
        <v>17</v>
      </c>
      <c r="BD20" s="216">
        <f t="shared" si="31"/>
        <v>0.44000000000000006</v>
      </c>
      <c r="BE20" s="169">
        <f t="shared" si="32"/>
        <v>17</v>
      </c>
      <c r="BF20" s="170">
        <v>0</v>
      </c>
      <c r="BG20" s="171">
        <f t="shared" si="33"/>
        <v>1</v>
      </c>
      <c r="BH20" s="172">
        <v>0</v>
      </c>
      <c r="BI20" s="171">
        <f t="shared" si="34"/>
        <v>1</v>
      </c>
      <c r="BJ20" s="172">
        <v>10000</v>
      </c>
      <c r="BK20" s="171">
        <f t="shared" si="35"/>
        <v>2</v>
      </c>
      <c r="BL20" s="172">
        <v>20000</v>
      </c>
      <c r="BM20" s="171">
        <f t="shared" si="36"/>
        <v>2</v>
      </c>
      <c r="BN20" s="172">
        <v>0</v>
      </c>
      <c r="BO20" s="171">
        <f t="shared" si="37"/>
        <v>1</v>
      </c>
      <c r="BP20" s="172">
        <v>0</v>
      </c>
      <c r="BQ20" s="171">
        <f t="shared" si="38"/>
        <v>1</v>
      </c>
      <c r="BR20" s="172">
        <v>0</v>
      </c>
      <c r="BS20" s="171">
        <f t="shared" si="39"/>
        <v>1</v>
      </c>
      <c r="BT20" s="172">
        <v>0</v>
      </c>
      <c r="BU20" s="171">
        <f t="shared" si="40"/>
        <v>1</v>
      </c>
      <c r="BV20" s="172">
        <v>0</v>
      </c>
      <c r="BW20" s="171">
        <f t="shared" si="41"/>
        <v>1</v>
      </c>
      <c r="BX20" s="172">
        <v>0</v>
      </c>
      <c r="BY20" s="171">
        <f t="shared" si="42"/>
        <v>1</v>
      </c>
      <c r="BZ20" s="167">
        <v>1.9</v>
      </c>
      <c r="CA20" s="171">
        <f t="shared" si="43"/>
        <v>2</v>
      </c>
      <c r="CB20" s="167">
        <v>36.9</v>
      </c>
      <c r="CC20" s="171">
        <f t="shared" si="44"/>
        <v>2</v>
      </c>
      <c r="CD20" s="167">
        <f t="shared" si="45"/>
        <v>1.3333333333333333</v>
      </c>
      <c r="CE20" s="168">
        <f t="shared" si="46"/>
        <v>6</v>
      </c>
      <c r="CF20" s="167">
        <f t="shared" si="47"/>
        <v>1.3333333333333333</v>
      </c>
      <c r="CG20" s="169">
        <f t="shared" si="48"/>
        <v>8</v>
      </c>
      <c r="CH20" s="167">
        <v>2.57</v>
      </c>
      <c r="CI20" s="171">
        <f t="shared" si="49"/>
        <v>17</v>
      </c>
      <c r="CJ20" s="167">
        <v>2.48</v>
      </c>
      <c r="CK20" s="171">
        <f t="shared" si="50"/>
        <v>15</v>
      </c>
      <c r="CL20" s="167">
        <v>3</v>
      </c>
      <c r="CM20" s="171">
        <f t="shared" si="51"/>
        <v>19</v>
      </c>
      <c r="CN20" s="167">
        <v>187</v>
      </c>
      <c r="CO20" s="171">
        <f t="shared" si="52"/>
        <v>9</v>
      </c>
      <c r="CP20" s="167">
        <v>121</v>
      </c>
      <c r="CQ20" s="171">
        <f t="shared" si="53"/>
        <v>7</v>
      </c>
      <c r="CR20" s="167">
        <v>91.7</v>
      </c>
      <c r="CS20" s="171">
        <f t="shared" si="54"/>
        <v>3</v>
      </c>
      <c r="CT20" s="167">
        <f>CR20+3.4</f>
        <v>95.100000000000009</v>
      </c>
      <c r="CU20" s="171">
        <f t="shared" si="55"/>
        <v>4</v>
      </c>
      <c r="CV20" s="167">
        <v>28.3</v>
      </c>
      <c r="CW20" s="171">
        <f t="shared" si="56"/>
        <v>10</v>
      </c>
      <c r="CX20" s="167">
        <v>27.7</v>
      </c>
      <c r="CY20" s="171">
        <f t="shared" si="57"/>
        <v>9</v>
      </c>
      <c r="CZ20" s="167">
        <f t="shared" si="0"/>
        <v>11.6</v>
      </c>
      <c r="DA20" s="168">
        <f t="shared" si="58"/>
        <v>9</v>
      </c>
      <c r="DB20" s="167">
        <f t="shared" si="59"/>
        <v>10.8</v>
      </c>
      <c r="DC20" s="169">
        <f t="shared" si="1"/>
        <v>10</v>
      </c>
      <c r="DD20" s="173">
        <v>111.9</v>
      </c>
      <c r="DE20" s="171">
        <f t="shared" si="60"/>
        <v>18</v>
      </c>
      <c r="DF20" s="167">
        <v>3.99</v>
      </c>
      <c r="DG20" s="171">
        <f t="shared" si="61"/>
        <v>4</v>
      </c>
      <c r="DH20" s="174">
        <v>1.729E-2</v>
      </c>
      <c r="DI20" s="171">
        <f t="shared" si="62"/>
        <v>11</v>
      </c>
      <c r="DJ20" s="175">
        <v>0.26300000000000001</v>
      </c>
      <c r="DK20" s="171">
        <f t="shared" si="63"/>
        <v>10</v>
      </c>
      <c r="DL20" s="167">
        <v>66.900000000000006</v>
      </c>
      <c r="DM20" s="171">
        <f t="shared" si="64"/>
        <v>4</v>
      </c>
      <c r="DN20" s="167">
        <v>0</v>
      </c>
      <c r="DO20" s="171">
        <f t="shared" si="65"/>
        <v>15</v>
      </c>
      <c r="DP20" s="167">
        <v>8</v>
      </c>
      <c r="DQ20" s="171">
        <f t="shared" si="66"/>
        <v>3</v>
      </c>
      <c r="DR20" s="167">
        <v>86.4</v>
      </c>
      <c r="DS20" s="171">
        <f t="shared" si="67"/>
        <v>5</v>
      </c>
      <c r="DT20" s="167">
        <v>0</v>
      </c>
      <c r="DU20" s="171">
        <f t="shared" si="68"/>
        <v>1</v>
      </c>
      <c r="DV20" s="167">
        <f>AVERAGE(DU20,DS20,DQ20,DM20,DK20,DI20,DG20,DE20)</f>
        <v>7</v>
      </c>
      <c r="DW20" s="169">
        <f t="shared" si="70"/>
        <v>4</v>
      </c>
      <c r="DX20" s="176"/>
      <c r="DY20" s="173">
        <v>4.2715135000000002</v>
      </c>
      <c r="DZ20" s="171">
        <f t="shared" si="71"/>
        <v>5</v>
      </c>
      <c r="EA20" s="167">
        <v>16.5</v>
      </c>
      <c r="EB20" s="171">
        <f t="shared" si="72"/>
        <v>4</v>
      </c>
      <c r="EC20" s="167">
        <v>0.86</v>
      </c>
      <c r="ED20" s="171">
        <f t="shared" si="73"/>
        <v>4</v>
      </c>
      <c r="EE20" s="167">
        <v>7.07</v>
      </c>
      <c r="EF20" s="171">
        <f t="shared" si="74"/>
        <v>4</v>
      </c>
      <c r="EG20" s="167">
        <v>0.47899999999999998</v>
      </c>
      <c r="EH20" s="171">
        <f t="shared" si="75"/>
        <v>6</v>
      </c>
      <c r="EI20" s="167">
        <v>4.05</v>
      </c>
      <c r="EJ20" s="171">
        <f t="shared" si="76"/>
        <v>3</v>
      </c>
      <c r="EK20" s="167">
        <v>0.04</v>
      </c>
      <c r="EL20" s="171">
        <f t="shared" si="77"/>
        <v>5</v>
      </c>
      <c r="EM20" s="167">
        <v>0.14000000000000001</v>
      </c>
      <c r="EN20" s="171">
        <f t="shared" si="78"/>
        <v>5</v>
      </c>
      <c r="EO20" s="167">
        <v>6.0503750000000002E-3</v>
      </c>
      <c r="EP20" s="171">
        <f t="shared" si="79"/>
        <v>4</v>
      </c>
      <c r="EQ20" s="167">
        <v>2.8531673437499998E-2</v>
      </c>
      <c r="ER20" s="171">
        <f t="shared" si="80"/>
        <v>8</v>
      </c>
      <c r="ES20" s="167">
        <v>22.98971460681231</v>
      </c>
      <c r="ET20" s="171">
        <v>4</v>
      </c>
      <c r="EU20" s="167">
        <v>151.56320243552216</v>
      </c>
      <c r="EV20" s="171">
        <v>4</v>
      </c>
      <c r="EW20" s="167">
        <f t="shared" si="90"/>
        <v>5.6565638750000007</v>
      </c>
      <c r="EX20" s="165">
        <f t="shared" si="81"/>
        <v>5</v>
      </c>
      <c r="EY20" s="167">
        <f t="shared" si="82"/>
        <v>27.7885316734375</v>
      </c>
      <c r="EZ20" s="165">
        <f t="shared" si="83"/>
        <v>4</v>
      </c>
      <c r="FA20" s="167">
        <f t="shared" si="84"/>
        <v>4.5</v>
      </c>
      <c r="FB20" s="168">
        <f t="shared" si="85"/>
        <v>6</v>
      </c>
      <c r="FC20" s="167">
        <f t="shared" si="86"/>
        <v>4</v>
      </c>
      <c r="FD20" s="169">
        <f t="shared" si="87"/>
        <v>4</v>
      </c>
      <c r="FE20" s="167">
        <f t="shared" si="2"/>
        <v>1.7899999999999998</v>
      </c>
      <c r="FF20" s="168">
        <f t="shared" si="88"/>
        <v>8</v>
      </c>
      <c r="FG20" s="167">
        <f t="shared" si="3"/>
        <v>1.81</v>
      </c>
      <c r="FH20" s="177">
        <f t="shared" si="89"/>
        <v>8</v>
      </c>
      <c r="FI20"/>
    </row>
    <row r="21" spans="2:170" ht="12" customHeight="1">
      <c r="B21" s="676" t="s">
        <v>40</v>
      </c>
      <c r="C21" s="163" t="s">
        <v>81</v>
      </c>
      <c r="D21" s="164">
        <v>3600</v>
      </c>
      <c r="E21" s="165">
        <f t="shared" si="4"/>
        <v>5</v>
      </c>
      <c r="F21" s="166">
        <v>116.51300000000001</v>
      </c>
      <c r="G21" s="165">
        <f t="shared" si="5"/>
        <v>5</v>
      </c>
      <c r="H21" s="166">
        <v>0.2</v>
      </c>
      <c r="I21" s="165">
        <f t="shared" si="6"/>
        <v>1</v>
      </c>
      <c r="J21" s="166">
        <v>201.06549999999999</v>
      </c>
      <c r="K21" s="165">
        <f t="shared" si="7"/>
        <v>5</v>
      </c>
      <c r="L21" s="166">
        <v>0.2</v>
      </c>
      <c r="M21" s="165">
        <f t="shared" si="8"/>
        <v>1</v>
      </c>
      <c r="N21" s="166">
        <v>0</v>
      </c>
      <c r="O21" s="165">
        <f t="shared" si="9"/>
        <v>1</v>
      </c>
      <c r="P21" s="166">
        <v>0</v>
      </c>
      <c r="Q21" s="165">
        <f t="shared" si="10"/>
        <v>1</v>
      </c>
      <c r="R21" s="166">
        <v>0</v>
      </c>
      <c r="S21" s="165">
        <f t="shared" si="11"/>
        <v>1</v>
      </c>
      <c r="T21" s="166">
        <v>0</v>
      </c>
      <c r="U21" s="165">
        <f t="shared" si="12"/>
        <v>1</v>
      </c>
      <c r="V21" s="166">
        <v>0</v>
      </c>
      <c r="W21" s="165">
        <f t="shared" si="13"/>
        <v>1</v>
      </c>
      <c r="X21" s="166">
        <v>0</v>
      </c>
      <c r="Y21" s="165">
        <f t="shared" si="14"/>
        <v>1</v>
      </c>
      <c r="Z21" s="166">
        <v>0</v>
      </c>
      <c r="AA21" s="165">
        <f t="shared" si="15"/>
        <v>1</v>
      </c>
      <c r="AB21" s="166">
        <v>0</v>
      </c>
      <c r="AC21" s="165">
        <f t="shared" si="16"/>
        <v>1</v>
      </c>
      <c r="AD21" s="166">
        <v>0</v>
      </c>
      <c r="AE21" s="165">
        <f t="shared" si="17"/>
        <v>1</v>
      </c>
      <c r="AF21" s="166">
        <v>0</v>
      </c>
      <c r="AG21" s="165">
        <f t="shared" si="18"/>
        <v>1</v>
      </c>
      <c r="AH21" s="166">
        <v>0</v>
      </c>
      <c r="AI21" s="165">
        <f t="shared" si="19"/>
        <v>1</v>
      </c>
      <c r="AJ21" s="166">
        <v>0</v>
      </c>
      <c r="AK21" s="165">
        <f t="shared" si="20"/>
        <v>1</v>
      </c>
      <c r="AL21" s="166">
        <v>0</v>
      </c>
      <c r="AM21" s="165">
        <f t="shared" si="21"/>
        <v>1</v>
      </c>
      <c r="AN21" s="166">
        <v>0</v>
      </c>
      <c r="AO21" s="165">
        <f t="shared" si="22"/>
        <v>1</v>
      </c>
      <c r="AP21" s="166">
        <v>0</v>
      </c>
      <c r="AQ21" s="165">
        <f t="shared" si="23"/>
        <v>1</v>
      </c>
      <c r="AR21" s="166">
        <v>0</v>
      </c>
      <c r="AS21" s="165">
        <f t="shared" si="24"/>
        <v>1</v>
      </c>
      <c r="AT21" s="166">
        <v>0</v>
      </c>
      <c r="AU21" s="165">
        <f t="shared" si="25"/>
        <v>1</v>
      </c>
      <c r="AV21" s="166">
        <v>0</v>
      </c>
      <c r="AW21" s="165">
        <f t="shared" si="26"/>
        <v>1</v>
      </c>
      <c r="AX21" s="166">
        <v>200</v>
      </c>
      <c r="AY21" s="165">
        <f t="shared" si="27"/>
        <v>2</v>
      </c>
      <c r="AZ21" s="166">
        <v>0</v>
      </c>
      <c r="BA21" s="165">
        <f t="shared" si="28"/>
        <v>1</v>
      </c>
      <c r="BB21" s="216">
        <f t="shared" si="29"/>
        <v>0.92000000000000015</v>
      </c>
      <c r="BC21" s="168">
        <f t="shared" si="30"/>
        <v>8</v>
      </c>
      <c r="BD21" s="216">
        <f t="shared" si="31"/>
        <v>0.6</v>
      </c>
      <c r="BE21" s="169">
        <f t="shared" si="32"/>
        <v>10</v>
      </c>
      <c r="BF21" s="170">
        <v>0</v>
      </c>
      <c r="BG21" s="171">
        <f t="shared" si="33"/>
        <v>1</v>
      </c>
      <c r="BH21" s="172">
        <v>0</v>
      </c>
      <c r="BI21" s="171">
        <f t="shared" si="34"/>
        <v>1</v>
      </c>
      <c r="BJ21" s="172">
        <v>0</v>
      </c>
      <c r="BK21" s="171">
        <f t="shared" si="35"/>
        <v>1</v>
      </c>
      <c r="BL21" s="172">
        <v>0</v>
      </c>
      <c r="BM21" s="171">
        <f t="shared" si="36"/>
        <v>1</v>
      </c>
      <c r="BN21" s="172">
        <v>0</v>
      </c>
      <c r="BO21" s="171">
        <f t="shared" si="37"/>
        <v>1</v>
      </c>
      <c r="BP21" s="172">
        <v>0</v>
      </c>
      <c r="BQ21" s="171">
        <f t="shared" si="38"/>
        <v>1</v>
      </c>
      <c r="BR21" s="172">
        <v>0</v>
      </c>
      <c r="BS21" s="171">
        <f t="shared" si="39"/>
        <v>1</v>
      </c>
      <c r="BT21" s="172">
        <v>0</v>
      </c>
      <c r="BU21" s="171">
        <f t="shared" si="40"/>
        <v>1</v>
      </c>
      <c r="BV21" s="172">
        <v>0</v>
      </c>
      <c r="BW21" s="171">
        <f t="shared" si="41"/>
        <v>1</v>
      </c>
      <c r="BX21" s="172">
        <v>0</v>
      </c>
      <c r="BY21" s="171">
        <f t="shared" si="42"/>
        <v>1</v>
      </c>
      <c r="BZ21" s="167">
        <v>0</v>
      </c>
      <c r="CA21" s="171">
        <f t="shared" si="43"/>
        <v>1</v>
      </c>
      <c r="CB21" s="167">
        <v>0</v>
      </c>
      <c r="CC21" s="171">
        <f t="shared" si="44"/>
        <v>1</v>
      </c>
      <c r="CD21" s="167">
        <f t="shared" si="45"/>
        <v>1</v>
      </c>
      <c r="CE21" s="168">
        <f t="shared" si="46"/>
        <v>13</v>
      </c>
      <c r="CF21" s="167">
        <f t="shared" si="47"/>
        <v>1</v>
      </c>
      <c r="CG21" s="169">
        <f t="shared" si="48"/>
        <v>18</v>
      </c>
      <c r="CH21" s="167">
        <v>0</v>
      </c>
      <c r="CI21" s="171">
        <f t="shared" si="49"/>
        <v>1</v>
      </c>
      <c r="CJ21" s="167">
        <v>0</v>
      </c>
      <c r="CK21" s="171">
        <f t="shared" si="50"/>
        <v>1</v>
      </c>
      <c r="CL21" s="167">
        <v>2</v>
      </c>
      <c r="CM21" s="171">
        <f t="shared" si="51"/>
        <v>22</v>
      </c>
      <c r="CN21" s="167">
        <v>55</v>
      </c>
      <c r="CO21" s="171">
        <f t="shared" si="52"/>
        <v>2</v>
      </c>
      <c r="CP21" s="167">
        <v>110</v>
      </c>
      <c r="CQ21" s="171">
        <f t="shared" si="53"/>
        <v>5</v>
      </c>
      <c r="CR21" s="167">
        <v>22.4</v>
      </c>
      <c r="CS21" s="171">
        <f t="shared" si="54"/>
        <v>24</v>
      </c>
      <c r="CT21" s="167">
        <f>CR21+2</f>
        <v>24.4</v>
      </c>
      <c r="CU21" s="171">
        <f t="shared" si="55"/>
        <v>24</v>
      </c>
      <c r="CV21" s="167">
        <v>27.7</v>
      </c>
      <c r="CW21" s="171">
        <f t="shared" si="56"/>
        <v>14</v>
      </c>
      <c r="CX21" s="167">
        <v>15.899999999999999</v>
      </c>
      <c r="CY21" s="171">
        <f t="shared" si="57"/>
        <v>22</v>
      </c>
      <c r="CZ21" s="167">
        <f t="shared" si="0"/>
        <v>12.6</v>
      </c>
      <c r="DA21" s="168">
        <f t="shared" si="58"/>
        <v>14</v>
      </c>
      <c r="DB21" s="167">
        <f t="shared" si="59"/>
        <v>14.8</v>
      </c>
      <c r="DC21" s="169">
        <f t="shared" si="1"/>
        <v>18</v>
      </c>
      <c r="DD21" s="173">
        <v>42.96</v>
      </c>
      <c r="DE21" s="171">
        <f t="shared" si="60"/>
        <v>1</v>
      </c>
      <c r="DF21" s="167">
        <v>2.4300000000000002</v>
      </c>
      <c r="DG21" s="171">
        <f t="shared" si="61"/>
        <v>25</v>
      </c>
      <c r="DH21" s="174">
        <v>4.1000000000000003E-3</v>
      </c>
      <c r="DI21" s="171">
        <f t="shared" si="62"/>
        <v>21</v>
      </c>
      <c r="DJ21" s="175">
        <v>0.155</v>
      </c>
      <c r="DK21" s="171">
        <f t="shared" si="63"/>
        <v>25</v>
      </c>
      <c r="DL21" s="167">
        <v>0</v>
      </c>
      <c r="DM21" s="171">
        <f t="shared" si="64"/>
        <v>25</v>
      </c>
      <c r="DN21" s="167">
        <v>39.200000000000003</v>
      </c>
      <c r="DO21" s="171">
        <f t="shared" si="65"/>
        <v>14</v>
      </c>
      <c r="DP21" s="167">
        <v>183</v>
      </c>
      <c r="DQ21" s="171">
        <f t="shared" si="66"/>
        <v>25</v>
      </c>
      <c r="DR21" s="167">
        <v>64.599999999999994</v>
      </c>
      <c r="DS21" s="171">
        <f t="shared" si="67"/>
        <v>25</v>
      </c>
      <c r="DT21" s="167">
        <v>0.3</v>
      </c>
      <c r="DU21" s="171">
        <f t="shared" si="68"/>
        <v>25</v>
      </c>
      <c r="DV21" s="167">
        <f>AVERAGE(DU21,DS21,DQ21,DO21,DM21,DK21,DI21,DG21,DE21)</f>
        <v>20.666666666666668</v>
      </c>
      <c r="DW21" s="169">
        <f t="shared" si="70"/>
        <v>25</v>
      </c>
      <c r="DX21" s="176"/>
      <c r="DY21" s="173">
        <v>0</v>
      </c>
      <c r="DZ21" s="171">
        <f t="shared" si="71"/>
        <v>22</v>
      </c>
      <c r="EA21" s="167">
        <v>0</v>
      </c>
      <c r="EB21" s="171">
        <f t="shared" si="72"/>
        <v>22</v>
      </c>
      <c r="EC21" s="167">
        <v>0</v>
      </c>
      <c r="ED21" s="171">
        <f t="shared" si="73"/>
        <v>9</v>
      </c>
      <c r="EE21" s="167">
        <v>0</v>
      </c>
      <c r="EF21" s="171">
        <f t="shared" si="74"/>
        <v>10</v>
      </c>
      <c r="EG21" s="167">
        <v>0</v>
      </c>
      <c r="EH21" s="171">
        <f t="shared" si="75"/>
        <v>16</v>
      </c>
      <c r="EI21" s="167">
        <v>2.5999999999999999E-2</v>
      </c>
      <c r="EJ21" s="171">
        <f t="shared" si="76"/>
        <v>21</v>
      </c>
      <c r="EK21" s="167">
        <v>0</v>
      </c>
      <c r="EL21" s="171">
        <f t="shared" si="77"/>
        <v>14</v>
      </c>
      <c r="EM21" s="167">
        <v>0</v>
      </c>
      <c r="EN21" s="171">
        <f t="shared" si="78"/>
        <v>16</v>
      </c>
      <c r="EO21" s="167">
        <v>0</v>
      </c>
      <c r="EP21" s="171">
        <f t="shared" si="79"/>
        <v>9</v>
      </c>
      <c r="EQ21" s="167">
        <v>0</v>
      </c>
      <c r="ER21" s="171">
        <f t="shared" si="80"/>
        <v>13</v>
      </c>
      <c r="ES21" s="167">
        <v>22.98971460681231</v>
      </c>
      <c r="ET21" s="171">
        <v>4</v>
      </c>
      <c r="EU21" s="167">
        <v>151.56320243552216</v>
      </c>
      <c r="EV21" s="171">
        <v>4</v>
      </c>
      <c r="EW21" s="167">
        <f t="shared" si="90"/>
        <v>0</v>
      </c>
      <c r="EX21" s="165">
        <f t="shared" si="81"/>
        <v>24</v>
      </c>
      <c r="EY21" s="167">
        <f t="shared" si="82"/>
        <v>2.5999999999999999E-2</v>
      </c>
      <c r="EZ21" s="165">
        <f t="shared" si="83"/>
        <v>24</v>
      </c>
      <c r="FA21" s="167">
        <f t="shared" si="84"/>
        <v>14</v>
      </c>
      <c r="FB21" s="168">
        <f t="shared" si="85"/>
        <v>24</v>
      </c>
      <c r="FC21" s="167">
        <f t="shared" si="86"/>
        <v>14</v>
      </c>
      <c r="FD21" s="169">
        <f t="shared" si="87"/>
        <v>23</v>
      </c>
      <c r="FE21" s="167">
        <f t="shared" si="2"/>
        <v>3.31</v>
      </c>
      <c r="FF21" s="168">
        <f t="shared" si="88"/>
        <v>23</v>
      </c>
      <c r="FG21" s="167">
        <f t="shared" si="3"/>
        <v>3.6799999999999997</v>
      </c>
      <c r="FH21" s="177">
        <f t="shared" si="89"/>
        <v>25</v>
      </c>
      <c r="FI21"/>
    </row>
    <row r="22" spans="2:170">
      <c r="B22" s="676"/>
      <c r="C22" s="163" t="s">
        <v>32</v>
      </c>
      <c r="D22" s="164">
        <v>50</v>
      </c>
      <c r="E22" s="165">
        <f t="shared" si="4"/>
        <v>2</v>
      </c>
      <c r="F22" s="166">
        <v>2.4</v>
      </c>
      <c r="G22" s="165">
        <f t="shared" si="5"/>
        <v>2</v>
      </c>
      <c r="H22" s="166">
        <v>0.6</v>
      </c>
      <c r="I22" s="165">
        <f t="shared" si="6"/>
        <v>1</v>
      </c>
      <c r="J22" s="166">
        <v>2.4</v>
      </c>
      <c r="K22" s="165">
        <f t="shared" si="7"/>
        <v>2</v>
      </c>
      <c r="L22" s="166">
        <v>0.6</v>
      </c>
      <c r="M22" s="165">
        <f t="shared" si="8"/>
        <v>1</v>
      </c>
      <c r="N22" s="166">
        <v>0</v>
      </c>
      <c r="O22" s="165">
        <f t="shared" si="9"/>
        <v>1</v>
      </c>
      <c r="P22" s="166">
        <v>0</v>
      </c>
      <c r="Q22" s="165">
        <f t="shared" si="10"/>
        <v>1</v>
      </c>
      <c r="R22" s="166">
        <v>0</v>
      </c>
      <c r="S22" s="165">
        <f t="shared" si="11"/>
        <v>1</v>
      </c>
      <c r="T22" s="166">
        <v>0</v>
      </c>
      <c r="U22" s="165">
        <f t="shared" si="12"/>
        <v>1</v>
      </c>
      <c r="V22" s="166">
        <v>0</v>
      </c>
      <c r="W22" s="165">
        <f t="shared" si="13"/>
        <v>1</v>
      </c>
      <c r="X22" s="166">
        <v>0</v>
      </c>
      <c r="Y22" s="165">
        <f t="shared" si="14"/>
        <v>1</v>
      </c>
      <c r="Z22" s="166">
        <v>21.98</v>
      </c>
      <c r="AA22" s="165">
        <f t="shared" si="15"/>
        <v>2</v>
      </c>
      <c r="AB22" s="166">
        <v>26</v>
      </c>
      <c r="AC22" s="165">
        <f t="shared" si="16"/>
        <v>2</v>
      </c>
      <c r="AD22" s="166">
        <v>1.48</v>
      </c>
      <c r="AE22" s="165">
        <f t="shared" si="17"/>
        <v>2</v>
      </c>
      <c r="AF22" s="166">
        <v>26</v>
      </c>
      <c r="AG22" s="165">
        <f t="shared" si="18"/>
        <v>2</v>
      </c>
      <c r="AH22" s="166">
        <v>0</v>
      </c>
      <c r="AI22" s="165">
        <f t="shared" si="19"/>
        <v>1</v>
      </c>
      <c r="AJ22" s="166">
        <v>0</v>
      </c>
      <c r="AK22" s="165">
        <f t="shared" si="20"/>
        <v>1</v>
      </c>
      <c r="AL22" s="166">
        <v>0</v>
      </c>
      <c r="AM22" s="165">
        <f t="shared" si="21"/>
        <v>1</v>
      </c>
      <c r="AN22" s="166">
        <v>0</v>
      </c>
      <c r="AO22" s="165">
        <f t="shared" si="22"/>
        <v>1</v>
      </c>
      <c r="AP22" s="166">
        <v>0</v>
      </c>
      <c r="AQ22" s="165">
        <f t="shared" si="23"/>
        <v>1</v>
      </c>
      <c r="AR22" s="166">
        <v>260000</v>
      </c>
      <c r="AS22" s="165">
        <f t="shared" si="24"/>
        <v>5</v>
      </c>
      <c r="AT22" s="166">
        <v>18310</v>
      </c>
      <c r="AU22" s="165">
        <f t="shared" si="25"/>
        <v>5</v>
      </c>
      <c r="AV22" s="166">
        <v>30</v>
      </c>
      <c r="AW22" s="165">
        <f t="shared" si="26"/>
        <v>2</v>
      </c>
      <c r="AX22" s="166">
        <v>24112</v>
      </c>
      <c r="AY22" s="165">
        <f t="shared" si="27"/>
        <v>5</v>
      </c>
      <c r="AZ22" s="166">
        <v>63.5</v>
      </c>
      <c r="BA22" s="165">
        <f t="shared" si="28"/>
        <v>2</v>
      </c>
      <c r="BB22" s="216">
        <f t="shared" si="29"/>
        <v>1.1199999999999999</v>
      </c>
      <c r="BC22" s="168">
        <f t="shared" si="30"/>
        <v>5</v>
      </c>
      <c r="BD22" s="216">
        <f t="shared" si="31"/>
        <v>0.72000000000000008</v>
      </c>
      <c r="BE22" s="169">
        <f t="shared" si="32"/>
        <v>4</v>
      </c>
      <c r="BF22" s="170">
        <v>0</v>
      </c>
      <c r="BG22" s="171">
        <f t="shared" si="33"/>
        <v>1</v>
      </c>
      <c r="BH22" s="172">
        <v>0</v>
      </c>
      <c r="BI22" s="171">
        <f t="shared" si="34"/>
        <v>1</v>
      </c>
      <c r="BJ22" s="172">
        <v>0</v>
      </c>
      <c r="BK22" s="171">
        <f t="shared" si="35"/>
        <v>1</v>
      </c>
      <c r="BL22" s="172">
        <v>0</v>
      </c>
      <c r="BM22" s="171">
        <f t="shared" si="36"/>
        <v>1</v>
      </c>
      <c r="BN22" s="172">
        <v>0</v>
      </c>
      <c r="BO22" s="171">
        <f t="shared" si="37"/>
        <v>1</v>
      </c>
      <c r="BP22" s="172">
        <v>0</v>
      </c>
      <c r="BQ22" s="171">
        <f t="shared" si="38"/>
        <v>1</v>
      </c>
      <c r="BR22" s="172">
        <v>0</v>
      </c>
      <c r="BS22" s="171">
        <f t="shared" si="39"/>
        <v>1</v>
      </c>
      <c r="BT22" s="172">
        <v>0</v>
      </c>
      <c r="BU22" s="171">
        <f t="shared" si="40"/>
        <v>1</v>
      </c>
      <c r="BV22" s="172">
        <v>0</v>
      </c>
      <c r="BW22" s="171">
        <f t="shared" si="41"/>
        <v>1</v>
      </c>
      <c r="BX22" s="172">
        <v>0</v>
      </c>
      <c r="BY22" s="171">
        <f t="shared" si="42"/>
        <v>1</v>
      </c>
      <c r="BZ22" s="167">
        <v>0</v>
      </c>
      <c r="CA22" s="171">
        <f t="shared" si="43"/>
        <v>1</v>
      </c>
      <c r="CB22" s="167">
        <v>0</v>
      </c>
      <c r="CC22" s="171">
        <f t="shared" si="44"/>
        <v>1</v>
      </c>
      <c r="CD22" s="167">
        <f t="shared" si="45"/>
        <v>1</v>
      </c>
      <c r="CE22" s="168">
        <f t="shared" si="46"/>
        <v>13</v>
      </c>
      <c r="CF22" s="167">
        <f t="shared" si="47"/>
        <v>1</v>
      </c>
      <c r="CG22" s="169">
        <f t="shared" si="48"/>
        <v>18</v>
      </c>
      <c r="CH22" s="167">
        <v>2.57</v>
      </c>
      <c r="CI22" s="171">
        <f t="shared" si="49"/>
        <v>17</v>
      </c>
      <c r="CJ22" s="167">
        <v>2.77</v>
      </c>
      <c r="CK22" s="171">
        <f t="shared" si="50"/>
        <v>18</v>
      </c>
      <c r="CL22" s="167">
        <v>7</v>
      </c>
      <c r="CM22" s="171">
        <f t="shared" si="51"/>
        <v>8</v>
      </c>
      <c r="CN22" s="167">
        <v>649</v>
      </c>
      <c r="CO22" s="171">
        <f t="shared" si="52"/>
        <v>21</v>
      </c>
      <c r="CP22" s="167">
        <v>451</v>
      </c>
      <c r="CQ22" s="171">
        <f t="shared" si="53"/>
        <v>18</v>
      </c>
      <c r="CR22" s="167">
        <v>43.1</v>
      </c>
      <c r="CS22" s="171">
        <f t="shared" si="54"/>
        <v>19</v>
      </c>
      <c r="CT22" s="167">
        <f>CR22+8.5</f>
        <v>51.6</v>
      </c>
      <c r="CU22" s="171">
        <f t="shared" si="55"/>
        <v>18</v>
      </c>
      <c r="CV22" s="167">
        <v>20.6</v>
      </c>
      <c r="CW22" s="171">
        <f t="shared" si="56"/>
        <v>22</v>
      </c>
      <c r="CX22" s="167">
        <v>22.6</v>
      </c>
      <c r="CY22" s="171">
        <f t="shared" si="57"/>
        <v>18</v>
      </c>
      <c r="CZ22" s="167">
        <f t="shared" si="0"/>
        <v>17.399999999999999</v>
      </c>
      <c r="DA22" s="168">
        <f t="shared" si="58"/>
        <v>23</v>
      </c>
      <c r="DB22" s="167">
        <f t="shared" si="59"/>
        <v>16</v>
      </c>
      <c r="DC22" s="169">
        <f t="shared" si="1"/>
        <v>19</v>
      </c>
      <c r="DD22" s="173">
        <v>52.832000000000001</v>
      </c>
      <c r="DE22" s="171">
        <f t="shared" si="60"/>
        <v>2</v>
      </c>
      <c r="DF22" s="167">
        <v>3.38</v>
      </c>
      <c r="DG22" s="171">
        <f t="shared" si="61"/>
        <v>16</v>
      </c>
      <c r="DH22" s="174">
        <v>8.1899999999999994E-3</v>
      </c>
      <c r="DI22" s="171">
        <f t="shared" si="62"/>
        <v>17</v>
      </c>
      <c r="DJ22" s="175">
        <v>0.186</v>
      </c>
      <c r="DK22" s="171">
        <f t="shared" si="63"/>
        <v>21</v>
      </c>
      <c r="DL22" s="167">
        <v>19.3</v>
      </c>
      <c r="DM22" s="171">
        <f t="shared" si="64"/>
        <v>17</v>
      </c>
      <c r="DN22" s="167">
        <v>64.790000000000006</v>
      </c>
      <c r="DO22" s="171">
        <f t="shared" si="65"/>
        <v>10</v>
      </c>
      <c r="DP22" s="167">
        <v>84</v>
      </c>
      <c r="DQ22" s="171">
        <f t="shared" si="66"/>
        <v>21</v>
      </c>
      <c r="DR22" s="167">
        <v>75.8</v>
      </c>
      <c r="DS22" s="171">
        <f t="shared" si="67"/>
        <v>20</v>
      </c>
      <c r="DT22" s="167">
        <v>0.01</v>
      </c>
      <c r="DU22" s="171">
        <f t="shared" si="68"/>
        <v>11</v>
      </c>
      <c r="DV22" s="167">
        <f t="shared" si="69"/>
        <v>15</v>
      </c>
      <c r="DW22" s="169">
        <f t="shared" si="70"/>
        <v>17</v>
      </c>
      <c r="DX22" s="176"/>
      <c r="DY22" s="173">
        <v>3.8080000000000003E-2</v>
      </c>
      <c r="DZ22" s="171">
        <f t="shared" si="71"/>
        <v>16</v>
      </c>
      <c r="EA22" s="167">
        <v>5.7881600000000005E-2</v>
      </c>
      <c r="EB22" s="171">
        <f t="shared" si="72"/>
        <v>17</v>
      </c>
      <c r="EC22" s="167">
        <v>0</v>
      </c>
      <c r="ED22" s="171">
        <f t="shared" si="73"/>
        <v>9</v>
      </c>
      <c r="EE22" s="167">
        <v>0</v>
      </c>
      <c r="EF22" s="171">
        <f t="shared" si="74"/>
        <v>10</v>
      </c>
      <c r="EG22" s="167">
        <v>0</v>
      </c>
      <c r="EH22" s="171">
        <f t="shared" si="75"/>
        <v>16</v>
      </c>
      <c r="EI22" s="167">
        <v>2.5999999999999999E-2</v>
      </c>
      <c r="EJ22" s="171">
        <f t="shared" si="76"/>
        <v>21</v>
      </c>
      <c r="EK22" s="167">
        <v>0</v>
      </c>
      <c r="EL22" s="171">
        <f t="shared" si="77"/>
        <v>14</v>
      </c>
      <c r="EM22" s="167">
        <v>0</v>
      </c>
      <c r="EN22" s="171">
        <f t="shared" si="78"/>
        <v>16</v>
      </c>
      <c r="EO22" s="167">
        <v>0</v>
      </c>
      <c r="EP22" s="171">
        <f t="shared" si="79"/>
        <v>9</v>
      </c>
      <c r="EQ22" s="167">
        <v>0</v>
      </c>
      <c r="ER22" s="171">
        <f t="shared" si="80"/>
        <v>13</v>
      </c>
      <c r="ES22" s="167">
        <v>22.98971460681231</v>
      </c>
      <c r="ET22" s="171">
        <v>4</v>
      </c>
      <c r="EU22" s="167">
        <v>151.56320243552216</v>
      </c>
      <c r="EV22" s="171">
        <v>4</v>
      </c>
      <c r="EW22" s="167">
        <f t="shared" si="90"/>
        <v>3.8080000000000003E-2</v>
      </c>
      <c r="EX22" s="165">
        <f t="shared" si="81"/>
        <v>17</v>
      </c>
      <c r="EY22" s="167">
        <f t="shared" si="82"/>
        <v>8.3881600000000001E-2</v>
      </c>
      <c r="EZ22" s="165">
        <f t="shared" si="83"/>
        <v>22</v>
      </c>
      <c r="FA22" s="167">
        <f t="shared" si="84"/>
        <v>10.5</v>
      </c>
      <c r="FB22" s="168">
        <f t="shared" si="85"/>
        <v>19</v>
      </c>
      <c r="FC22" s="167">
        <f t="shared" si="86"/>
        <v>13</v>
      </c>
      <c r="FD22" s="169">
        <f t="shared" si="87"/>
        <v>22</v>
      </c>
      <c r="FE22" s="167">
        <f t="shared" si="2"/>
        <v>3</v>
      </c>
      <c r="FF22" s="168">
        <f t="shared" si="88"/>
        <v>18</v>
      </c>
      <c r="FG22" s="167">
        <f t="shared" si="3"/>
        <v>3.06</v>
      </c>
      <c r="FH22" s="177">
        <f t="shared" si="89"/>
        <v>17</v>
      </c>
      <c r="FI22"/>
      <c r="FN22" s="110"/>
    </row>
    <row r="23" spans="2:170">
      <c r="B23" s="698" t="s">
        <v>56</v>
      </c>
      <c r="C23" s="263" t="s">
        <v>29</v>
      </c>
      <c r="D23" s="164">
        <v>230</v>
      </c>
      <c r="E23" s="165">
        <f t="shared" si="4"/>
        <v>3</v>
      </c>
      <c r="F23" s="166">
        <v>3.8</v>
      </c>
      <c r="G23" s="165">
        <f t="shared" si="5"/>
        <v>2</v>
      </c>
      <c r="H23" s="166">
        <v>6.7</v>
      </c>
      <c r="I23" s="165">
        <f t="shared" si="6"/>
        <v>2</v>
      </c>
      <c r="J23" s="166">
        <v>6.65</v>
      </c>
      <c r="K23" s="165">
        <f t="shared" si="7"/>
        <v>2</v>
      </c>
      <c r="L23" s="166">
        <v>11.7</v>
      </c>
      <c r="M23" s="165">
        <f t="shared" si="8"/>
        <v>2</v>
      </c>
      <c r="N23" s="166">
        <v>370</v>
      </c>
      <c r="O23" s="165">
        <f t="shared" si="9"/>
        <v>2</v>
      </c>
      <c r="P23" s="166">
        <v>0</v>
      </c>
      <c r="Q23" s="165">
        <f t="shared" si="10"/>
        <v>1</v>
      </c>
      <c r="R23" s="166">
        <v>0</v>
      </c>
      <c r="S23" s="165">
        <f t="shared" si="11"/>
        <v>1</v>
      </c>
      <c r="T23" s="166">
        <v>44.696808510638292</v>
      </c>
      <c r="U23" s="165">
        <f t="shared" si="12"/>
        <v>3</v>
      </c>
      <c r="V23" s="166">
        <v>31.308510638297875</v>
      </c>
      <c r="W23" s="165">
        <f t="shared" si="13"/>
        <v>2</v>
      </c>
      <c r="X23" s="166">
        <v>2600</v>
      </c>
      <c r="Y23" s="165">
        <f t="shared" si="14"/>
        <v>2</v>
      </c>
      <c r="Z23" s="166">
        <v>215.8</v>
      </c>
      <c r="AA23" s="165">
        <f t="shared" si="15"/>
        <v>5</v>
      </c>
      <c r="AB23" s="166">
        <v>148</v>
      </c>
      <c r="AC23" s="165">
        <f t="shared" si="16"/>
        <v>2</v>
      </c>
      <c r="AD23" s="166">
        <v>248.8</v>
      </c>
      <c r="AE23" s="165">
        <f t="shared" si="17"/>
        <v>5</v>
      </c>
      <c r="AF23" s="166">
        <v>148</v>
      </c>
      <c r="AG23" s="165">
        <f t="shared" si="18"/>
        <v>2</v>
      </c>
      <c r="AH23" s="166">
        <v>50</v>
      </c>
      <c r="AI23" s="165">
        <f t="shared" si="19"/>
        <v>2</v>
      </c>
      <c r="AJ23" s="166">
        <v>40</v>
      </c>
      <c r="AK23" s="165">
        <f t="shared" si="20"/>
        <v>2</v>
      </c>
      <c r="AL23" s="166">
        <v>0</v>
      </c>
      <c r="AM23" s="165">
        <f t="shared" si="21"/>
        <v>1</v>
      </c>
      <c r="AN23" s="166">
        <v>104</v>
      </c>
      <c r="AO23" s="165">
        <f t="shared" si="22"/>
        <v>2</v>
      </c>
      <c r="AP23" s="166">
        <v>0</v>
      </c>
      <c r="AQ23" s="165">
        <f t="shared" si="23"/>
        <v>1</v>
      </c>
      <c r="AR23" s="166">
        <v>0</v>
      </c>
      <c r="AS23" s="165">
        <f t="shared" si="24"/>
        <v>1</v>
      </c>
      <c r="AT23" s="166">
        <v>0</v>
      </c>
      <c r="AU23" s="165">
        <f t="shared" si="25"/>
        <v>1</v>
      </c>
      <c r="AV23" s="166">
        <v>50</v>
      </c>
      <c r="AW23" s="165">
        <f t="shared" si="26"/>
        <v>2</v>
      </c>
      <c r="AX23" s="166">
        <v>34.5</v>
      </c>
      <c r="AY23" s="165">
        <f t="shared" si="27"/>
        <v>2</v>
      </c>
      <c r="AZ23" s="166">
        <v>50</v>
      </c>
      <c r="BA23" s="165">
        <f t="shared" si="28"/>
        <v>2</v>
      </c>
      <c r="BB23" s="216">
        <f t="shared" si="29"/>
        <v>1.1600000000000001</v>
      </c>
      <c r="BC23" s="168">
        <f t="shared" si="30"/>
        <v>4</v>
      </c>
      <c r="BD23" s="216">
        <f t="shared" si="31"/>
        <v>0.92000000000000015</v>
      </c>
      <c r="BE23" s="169">
        <f t="shared" si="32"/>
        <v>3</v>
      </c>
      <c r="BF23" s="170">
        <v>0</v>
      </c>
      <c r="BG23" s="171">
        <f t="shared" si="33"/>
        <v>1</v>
      </c>
      <c r="BH23" s="172">
        <v>0</v>
      </c>
      <c r="BI23" s="171">
        <f t="shared" si="34"/>
        <v>1</v>
      </c>
      <c r="BJ23" s="172">
        <v>0</v>
      </c>
      <c r="BK23" s="171">
        <f t="shared" si="35"/>
        <v>1</v>
      </c>
      <c r="BL23" s="172">
        <v>0</v>
      </c>
      <c r="BM23" s="171">
        <f t="shared" si="36"/>
        <v>1</v>
      </c>
      <c r="BN23" s="172">
        <v>5500</v>
      </c>
      <c r="BO23" s="171">
        <f t="shared" si="37"/>
        <v>2</v>
      </c>
      <c r="BP23" s="172">
        <v>5500</v>
      </c>
      <c r="BQ23" s="171">
        <f t="shared" si="38"/>
        <v>2</v>
      </c>
      <c r="BR23" s="172">
        <v>0</v>
      </c>
      <c r="BS23" s="171">
        <f t="shared" si="39"/>
        <v>1</v>
      </c>
      <c r="BT23" s="172">
        <v>0</v>
      </c>
      <c r="BU23" s="171">
        <f t="shared" si="40"/>
        <v>1</v>
      </c>
      <c r="BV23" s="172">
        <v>0</v>
      </c>
      <c r="BW23" s="171">
        <f t="shared" si="41"/>
        <v>1</v>
      </c>
      <c r="BX23" s="172">
        <v>0</v>
      </c>
      <c r="BY23" s="171">
        <f t="shared" si="42"/>
        <v>1</v>
      </c>
      <c r="BZ23" s="167">
        <v>0.2</v>
      </c>
      <c r="CA23" s="171">
        <f t="shared" si="43"/>
        <v>1</v>
      </c>
      <c r="CB23" s="167">
        <v>0.2</v>
      </c>
      <c r="CC23" s="171">
        <f t="shared" si="44"/>
        <v>1</v>
      </c>
      <c r="CD23" s="167">
        <f t="shared" si="45"/>
        <v>1.1666666666666667</v>
      </c>
      <c r="CE23" s="168">
        <f t="shared" si="46"/>
        <v>10</v>
      </c>
      <c r="CF23" s="167">
        <f t="shared" si="47"/>
        <v>1.1666666666666667</v>
      </c>
      <c r="CG23" s="169">
        <f t="shared" si="48"/>
        <v>12</v>
      </c>
      <c r="CH23" s="167">
        <v>0.89</v>
      </c>
      <c r="CI23" s="171">
        <f t="shared" si="49"/>
        <v>3</v>
      </c>
      <c r="CJ23" s="167">
        <v>1</v>
      </c>
      <c r="CK23" s="171">
        <f t="shared" si="50"/>
        <v>4</v>
      </c>
      <c r="CL23" s="167">
        <v>2</v>
      </c>
      <c r="CM23" s="171">
        <f t="shared" si="51"/>
        <v>22</v>
      </c>
      <c r="CN23" s="167">
        <v>135</v>
      </c>
      <c r="CO23" s="171">
        <f t="shared" si="52"/>
        <v>6</v>
      </c>
      <c r="CP23" s="167">
        <v>115</v>
      </c>
      <c r="CQ23" s="171">
        <f t="shared" si="53"/>
        <v>6</v>
      </c>
      <c r="CR23" s="167">
        <v>71</v>
      </c>
      <c r="CS23" s="171">
        <f t="shared" si="54"/>
        <v>10</v>
      </c>
      <c r="CT23" s="167">
        <f>CR23+3.7</f>
        <v>74.7</v>
      </c>
      <c r="CU23" s="171">
        <f t="shared" si="55"/>
        <v>9</v>
      </c>
      <c r="CV23" s="167">
        <v>30.1</v>
      </c>
      <c r="CW23" s="171">
        <f t="shared" si="56"/>
        <v>8</v>
      </c>
      <c r="CX23" s="167">
        <v>34.5</v>
      </c>
      <c r="CY23" s="171">
        <f t="shared" si="57"/>
        <v>4</v>
      </c>
      <c r="CZ23" s="167">
        <f t="shared" si="0"/>
        <v>9.8000000000000007</v>
      </c>
      <c r="DA23" s="168">
        <f t="shared" si="58"/>
        <v>4</v>
      </c>
      <c r="DB23" s="167">
        <f t="shared" si="59"/>
        <v>9</v>
      </c>
      <c r="DC23" s="169">
        <f t="shared" si="1"/>
        <v>4</v>
      </c>
      <c r="DD23" s="173">
        <f>(35+85)/2</f>
        <v>60</v>
      </c>
      <c r="DE23" s="171">
        <f t="shared" si="60"/>
        <v>3</v>
      </c>
      <c r="DF23" s="167">
        <v>3.73</v>
      </c>
      <c r="DG23" s="171">
        <f t="shared" si="61"/>
        <v>9</v>
      </c>
      <c r="DH23" s="174">
        <v>1.5429999999999999E-2</v>
      </c>
      <c r="DI23" s="171">
        <f t="shared" si="62"/>
        <v>12</v>
      </c>
      <c r="DJ23" s="175">
        <v>0.21299999999999999</v>
      </c>
      <c r="DK23" s="171">
        <f t="shared" si="63"/>
        <v>18</v>
      </c>
      <c r="DL23" s="167">
        <v>50.5</v>
      </c>
      <c r="DM23" s="171">
        <f t="shared" si="64"/>
        <v>9</v>
      </c>
      <c r="DN23" s="167">
        <v>71.52</v>
      </c>
      <c r="DO23" s="171">
        <f t="shared" si="65"/>
        <v>6</v>
      </c>
      <c r="DP23" s="167">
        <v>23</v>
      </c>
      <c r="DQ23" s="171">
        <f t="shared" si="66"/>
        <v>9</v>
      </c>
      <c r="DR23" s="167">
        <v>87</v>
      </c>
      <c r="DS23" s="171">
        <f t="shared" si="67"/>
        <v>4</v>
      </c>
      <c r="DT23" s="167">
        <v>9.5000000000000001E-2</v>
      </c>
      <c r="DU23" s="171">
        <f t="shared" si="68"/>
        <v>20</v>
      </c>
      <c r="DV23" s="167">
        <f t="shared" si="69"/>
        <v>10</v>
      </c>
      <c r="DW23" s="169">
        <f t="shared" si="70"/>
        <v>10</v>
      </c>
      <c r="DX23" s="176"/>
      <c r="DY23" s="173">
        <v>1.2620800000000001</v>
      </c>
      <c r="DZ23" s="171">
        <f t="shared" si="71"/>
        <v>8</v>
      </c>
      <c r="EA23" s="167">
        <v>13.77</v>
      </c>
      <c r="EB23" s="171">
        <f t="shared" si="72"/>
        <v>5</v>
      </c>
      <c r="EC23" s="167">
        <v>0.20315449998411844</v>
      </c>
      <c r="ED23" s="171">
        <f t="shared" si="73"/>
        <v>7</v>
      </c>
      <c r="EE23" s="167">
        <v>2.5743126865853689</v>
      </c>
      <c r="EF23" s="171">
        <f t="shared" si="74"/>
        <v>6</v>
      </c>
      <c r="EG23" s="167">
        <v>3.4000000000000002E-2</v>
      </c>
      <c r="EH23" s="171">
        <f t="shared" si="75"/>
        <v>9</v>
      </c>
      <c r="EI23" s="167">
        <v>0.82699999999999996</v>
      </c>
      <c r="EJ23" s="171">
        <f t="shared" si="76"/>
        <v>12</v>
      </c>
      <c r="EK23" s="167">
        <v>0</v>
      </c>
      <c r="EL23" s="171">
        <f t="shared" si="77"/>
        <v>14</v>
      </c>
      <c r="EM23" s="167">
        <v>0</v>
      </c>
      <c r="EN23" s="171">
        <f t="shared" si="78"/>
        <v>16</v>
      </c>
      <c r="EO23" s="167">
        <v>0</v>
      </c>
      <c r="EP23" s="171">
        <f t="shared" si="79"/>
        <v>9</v>
      </c>
      <c r="EQ23" s="167">
        <v>0</v>
      </c>
      <c r="ER23" s="171">
        <f t="shared" si="80"/>
        <v>13</v>
      </c>
      <c r="ES23" s="167">
        <v>18.009967078598223</v>
      </c>
      <c r="ET23" s="171">
        <v>5</v>
      </c>
      <c r="EU23" s="167">
        <v>122.27922885788944</v>
      </c>
      <c r="EV23" s="171">
        <v>5</v>
      </c>
      <c r="EW23" s="167">
        <f t="shared" si="90"/>
        <v>1.4992344999841185</v>
      </c>
      <c r="EX23" s="165">
        <f t="shared" si="81"/>
        <v>9</v>
      </c>
      <c r="EY23" s="167">
        <f t="shared" si="82"/>
        <v>17.171312686585367</v>
      </c>
      <c r="EZ23" s="165">
        <f t="shared" si="83"/>
        <v>6</v>
      </c>
      <c r="FA23" s="167">
        <f t="shared" si="84"/>
        <v>7</v>
      </c>
      <c r="FB23" s="168">
        <f t="shared" si="85"/>
        <v>11</v>
      </c>
      <c r="FC23" s="167">
        <f t="shared" si="86"/>
        <v>5.5</v>
      </c>
      <c r="FD23" s="169">
        <f t="shared" si="87"/>
        <v>8</v>
      </c>
      <c r="FE23" s="167">
        <f t="shared" si="2"/>
        <v>1.5</v>
      </c>
      <c r="FF23" s="168">
        <f>RANK(FE23,$FE$13:$FE$37,1)</f>
        <v>3</v>
      </c>
      <c r="FG23" s="167">
        <f t="shared" si="3"/>
        <v>1.3900000000000001</v>
      </c>
      <c r="FH23" s="177">
        <f t="shared" si="89"/>
        <v>4</v>
      </c>
      <c r="FI23"/>
    </row>
    <row r="24" spans="2:170">
      <c r="B24" s="698"/>
      <c r="C24" s="263" t="s">
        <v>12</v>
      </c>
      <c r="D24" s="164">
        <v>10</v>
      </c>
      <c r="E24" s="165">
        <f t="shared" si="4"/>
        <v>2</v>
      </c>
      <c r="F24" s="166">
        <v>1.5</v>
      </c>
      <c r="G24" s="165">
        <f t="shared" si="5"/>
        <v>2</v>
      </c>
      <c r="H24" s="166">
        <v>0</v>
      </c>
      <c r="I24" s="165">
        <f t="shared" si="6"/>
        <v>1</v>
      </c>
      <c r="J24" s="166">
        <v>1.5</v>
      </c>
      <c r="K24" s="165">
        <f t="shared" si="7"/>
        <v>2</v>
      </c>
      <c r="L24" s="166">
        <v>0</v>
      </c>
      <c r="M24" s="165">
        <f t="shared" si="8"/>
        <v>1</v>
      </c>
      <c r="N24" s="166">
        <v>0</v>
      </c>
      <c r="O24" s="165">
        <f t="shared" si="9"/>
        <v>1</v>
      </c>
      <c r="P24" s="166">
        <v>0</v>
      </c>
      <c r="Q24" s="165">
        <f t="shared" si="10"/>
        <v>1</v>
      </c>
      <c r="R24" s="166">
        <v>0</v>
      </c>
      <c r="S24" s="165">
        <f t="shared" si="11"/>
        <v>1</v>
      </c>
      <c r="T24" s="166">
        <v>26.25</v>
      </c>
      <c r="U24" s="165">
        <f t="shared" si="12"/>
        <v>2</v>
      </c>
      <c r="V24" s="166">
        <v>26.25</v>
      </c>
      <c r="W24" s="165">
        <f t="shared" si="13"/>
        <v>2</v>
      </c>
      <c r="X24" s="166">
        <v>0</v>
      </c>
      <c r="Y24" s="165">
        <f t="shared" si="14"/>
        <v>1</v>
      </c>
      <c r="Z24" s="166">
        <v>0</v>
      </c>
      <c r="AA24" s="165">
        <f t="shared" si="15"/>
        <v>1</v>
      </c>
      <c r="AB24" s="166">
        <v>0</v>
      </c>
      <c r="AC24" s="165">
        <f t="shared" si="16"/>
        <v>1</v>
      </c>
      <c r="AD24" s="166">
        <v>0</v>
      </c>
      <c r="AE24" s="165">
        <f t="shared" si="17"/>
        <v>1</v>
      </c>
      <c r="AF24" s="166">
        <v>0</v>
      </c>
      <c r="AG24" s="165">
        <f t="shared" si="18"/>
        <v>1</v>
      </c>
      <c r="AH24" s="166">
        <v>3100</v>
      </c>
      <c r="AI24" s="165">
        <f t="shared" si="19"/>
        <v>2</v>
      </c>
      <c r="AJ24" s="166">
        <v>90</v>
      </c>
      <c r="AK24" s="165">
        <f t="shared" si="20"/>
        <v>2</v>
      </c>
      <c r="AL24" s="166">
        <v>0</v>
      </c>
      <c r="AM24" s="165">
        <f t="shared" si="21"/>
        <v>1</v>
      </c>
      <c r="AN24" s="166">
        <v>0</v>
      </c>
      <c r="AO24" s="165">
        <f t="shared" si="22"/>
        <v>1</v>
      </c>
      <c r="AP24" s="166">
        <v>0</v>
      </c>
      <c r="AQ24" s="165">
        <f t="shared" si="23"/>
        <v>1</v>
      </c>
      <c r="AR24" s="166">
        <v>0</v>
      </c>
      <c r="AS24" s="165">
        <f t="shared" si="24"/>
        <v>1</v>
      </c>
      <c r="AT24" s="166">
        <v>470</v>
      </c>
      <c r="AU24" s="165">
        <f t="shared" si="25"/>
        <v>2</v>
      </c>
      <c r="AV24" s="166">
        <v>0</v>
      </c>
      <c r="AW24" s="165">
        <f t="shared" si="26"/>
        <v>1</v>
      </c>
      <c r="AX24" s="166">
        <v>657</v>
      </c>
      <c r="AY24" s="165">
        <f t="shared" si="27"/>
        <v>2</v>
      </c>
      <c r="AZ24" s="166">
        <v>0</v>
      </c>
      <c r="BA24" s="165">
        <f t="shared" si="28"/>
        <v>1</v>
      </c>
      <c r="BB24" s="216">
        <f t="shared" si="29"/>
        <v>0.8</v>
      </c>
      <c r="BC24" s="168">
        <f t="shared" si="30"/>
        <v>12</v>
      </c>
      <c r="BD24" s="216">
        <f t="shared" si="31"/>
        <v>0.56000000000000005</v>
      </c>
      <c r="BE24" s="169">
        <f t="shared" si="32"/>
        <v>12</v>
      </c>
      <c r="BF24" s="170">
        <v>0</v>
      </c>
      <c r="BG24" s="171">
        <f t="shared" si="33"/>
        <v>1</v>
      </c>
      <c r="BH24" s="172">
        <v>0</v>
      </c>
      <c r="BI24" s="171">
        <f t="shared" si="34"/>
        <v>1</v>
      </c>
      <c r="BJ24" s="172">
        <v>0</v>
      </c>
      <c r="BK24" s="171">
        <f t="shared" si="35"/>
        <v>1</v>
      </c>
      <c r="BL24" s="172">
        <v>0</v>
      </c>
      <c r="BM24" s="171">
        <f t="shared" si="36"/>
        <v>1</v>
      </c>
      <c r="BN24" s="172">
        <v>0</v>
      </c>
      <c r="BO24" s="171">
        <f t="shared" si="37"/>
        <v>1</v>
      </c>
      <c r="BP24" s="172">
        <v>0</v>
      </c>
      <c r="BQ24" s="171">
        <f t="shared" si="38"/>
        <v>1</v>
      </c>
      <c r="BR24" s="172">
        <v>0</v>
      </c>
      <c r="BS24" s="171">
        <f t="shared" si="39"/>
        <v>1</v>
      </c>
      <c r="BT24" s="172">
        <v>0</v>
      </c>
      <c r="BU24" s="171">
        <f t="shared" si="40"/>
        <v>1</v>
      </c>
      <c r="BV24" s="172">
        <v>0</v>
      </c>
      <c r="BW24" s="171">
        <f t="shared" si="41"/>
        <v>1</v>
      </c>
      <c r="BX24" s="172">
        <v>0</v>
      </c>
      <c r="BY24" s="171">
        <f t="shared" si="42"/>
        <v>1</v>
      </c>
      <c r="BZ24" s="167">
        <v>0</v>
      </c>
      <c r="CA24" s="171">
        <f t="shared" si="43"/>
        <v>1</v>
      </c>
      <c r="CB24" s="167">
        <v>0</v>
      </c>
      <c r="CC24" s="171">
        <f t="shared" si="44"/>
        <v>1</v>
      </c>
      <c r="CD24" s="167">
        <f t="shared" si="45"/>
        <v>1</v>
      </c>
      <c r="CE24" s="168">
        <f t="shared" si="46"/>
        <v>13</v>
      </c>
      <c r="CF24" s="167">
        <f t="shared" si="47"/>
        <v>1</v>
      </c>
      <c r="CG24" s="169">
        <f t="shared" si="48"/>
        <v>18</v>
      </c>
      <c r="CH24" s="167">
        <v>3.04</v>
      </c>
      <c r="CI24" s="171">
        <f t="shared" si="49"/>
        <v>21</v>
      </c>
      <c r="CJ24" s="167">
        <v>3.26</v>
      </c>
      <c r="CK24" s="171">
        <f t="shared" si="50"/>
        <v>22</v>
      </c>
      <c r="CL24" s="167">
        <v>10</v>
      </c>
      <c r="CM24" s="171">
        <f t="shared" si="51"/>
        <v>5</v>
      </c>
      <c r="CN24" s="167">
        <v>428</v>
      </c>
      <c r="CO24" s="171">
        <f t="shared" si="52"/>
        <v>15</v>
      </c>
      <c r="CP24" s="167">
        <v>326</v>
      </c>
      <c r="CQ24" s="171">
        <f t="shared" si="53"/>
        <v>15</v>
      </c>
      <c r="CR24" s="167">
        <v>47.5</v>
      </c>
      <c r="CS24" s="171">
        <f t="shared" si="54"/>
        <v>18</v>
      </c>
      <c r="CT24" s="167">
        <f>CR24+2.8</f>
        <v>50.3</v>
      </c>
      <c r="CU24" s="171">
        <f t="shared" si="55"/>
        <v>19</v>
      </c>
      <c r="CV24" s="167">
        <v>32.5</v>
      </c>
      <c r="CW24" s="171">
        <f t="shared" si="56"/>
        <v>5</v>
      </c>
      <c r="CX24" s="167">
        <v>32.5</v>
      </c>
      <c r="CY24" s="171">
        <f t="shared" si="57"/>
        <v>6</v>
      </c>
      <c r="CZ24" s="167">
        <f t="shared" si="0"/>
        <v>12.8</v>
      </c>
      <c r="DA24" s="168">
        <f t="shared" si="58"/>
        <v>15</v>
      </c>
      <c r="DB24" s="167">
        <f t="shared" si="59"/>
        <v>13.4</v>
      </c>
      <c r="DC24" s="169">
        <f t="shared" si="1"/>
        <v>13</v>
      </c>
      <c r="DD24" s="173">
        <v>99.31</v>
      </c>
      <c r="DE24" s="171">
        <f t="shared" si="60"/>
        <v>16</v>
      </c>
      <c r="DF24" s="167">
        <v>3.05</v>
      </c>
      <c r="DG24" s="171">
        <f t="shared" si="61"/>
        <v>21</v>
      </c>
      <c r="DH24" s="174">
        <v>3.13E-3</v>
      </c>
      <c r="DI24" s="171">
        <f t="shared" si="62"/>
        <v>23</v>
      </c>
      <c r="DJ24" s="175">
        <v>0.252</v>
      </c>
      <c r="DK24" s="171">
        <f t="shared" si="63"/>
        <v>12</v>
      </c>
      <c r="DL24" s="167">
        <v>11</v>
      </c>
      <c r="DM24" s="171">
        <f t="shared" si="64"/>
        <v>22</v>
      </c>
      <c r="DN24" s="167">
        <v>65.430000000000007</v>
      </c>
      <c r="DO24" s="171">
        <f t="shared" si="65"/>
        <v>9</v>
      </c>
      <c r="DP24" s="167">
        <v>60</v>
      </c>
      <c r="DQ24" s="171">
        <f t="shared" si="66"/>
        <v>17</v>
      </c>
      <c r="DR24" s="167">
        <v>87.6</v>
      </c>
      <c r="DS24" s="171">
        <f t="shared" si="67"/>
        <v>3</v>
      </c>
      <c r="DT24" s="167">
        <v>0.10199999999999999</v>
      </c>
      <c r="DU24" s="171">
        <f t="shared" si="68"/>
        <v>22</v>
      </c>
      <c r="DV24" s="167">
        <f t="shared" si="69"/>
        <v>16.111111111111111</v>
      </c>
      <c r="DW24" s="169">
        <f t="shared" si="70"/>
        <v>19</v>
      </c>
      <c r="DX24" s="176"/>
      <c r="DY24" s="173">
        <v>1.5800000000000002E-2</v>
      </c>
      <c r="DZ24" s="171">
        <f t="shared" si="71"/>
        <v>17</v>
      </c>
      <c r="EA24" s="167">
        <v>2.4016000000000003E-2</v>
      </c>
      <c r="EB24" s="171">
        <f t="shared" si="72"/>
        <v>18</v>
      </c>
      <c r="EC24" s="167">
        <v>0</v>
      </c>
      <c r="ED24" s="171">
        <f t="shared" si="73"/>
        <v>9</v>
      </c>
      <c r="EE24" s="167">
        <v>0</v>
      </c>
      <c r="EF24" s="171">
        <f t="shared" si="74"/>
        <v>10</v>
      </c>
      <c r="EG24" s="167">
        <v>0</v>
      </c>
      <c r="EH24" s="171">
        <f t="shared" si="75"/>
        <v>16</v>
      </c>
      <c r="EI24" s="167">
        <v>0.64700000000000002</v>
      </c>
      <c r="EJ24" s="171">
        <f t="shared" si="76"/>
        <v>13</v>
      </c>
      <c r="EK24" s="167">
        <v>0</v>
      </c>
      <c r="EL24" s="171">
        <f t="shared" si="77"/>
        <v>14</v>
      </c>
      <c r="EM24" s="167">
        <v>0</v>
      </c>
      <c r="EN24" s="171">
        <f t="shared" si="78"/>
        <v>16</v>
      </c>
      <c r="EO24" s="167">
        <v>0</v>
      </c>
      <c r="EP24" s="171">
        <f t="shared" si="79"/>
        <v>9</v>
      </c>
      <c r="EQ24" s="167">
        <v>0</v>
      </c>
      <c r="ER24" s="171">
        <f t="shared" si="80"/>
        <v>13</v>
      </c>
      <c r="ES24" s="167">
        <v>18.009967078598223</v>
      </c>
      <c r="ET24" s="171">
        <v>5</v>
      </c>
      <c r="EU24" s="167">
        <v>122.27922885788944</v>
      </c>
      <c r="EV24" s="171">
        <v>5</v>
      </c>
      <c r="EW24" s="167">
        <f t="shared" si="90"/>
        <v>1.5800000000000002E-2</v>
      </c>
      <c r="EX24" s="165">
        <f t="shared" si="81"/>
        <v>21</v>
      </c>
      <c r="EY24" s="167">
        <f t="shared" si="82"/>
        <v>0.67101600000000006</v>
      </c>
      <c r="EZ24" s="165">
        <f t="shared" si="83"/>
        <v>16</v>
      </c>
      <c r="FA24" s="167">
        <f t="shared" si="84"/>
        <v>13</v>
      </c>
      <c r="FB24" s="168">
        <f t="shared" si="85"/>
        <v>22</v>
      </c>
      <c r="FC24" s="167">
        <f t="shared" si="86"/>
        <v>10.5</v>
      </c>
      <c r="FD24" s="169">
        <f t="shared" si="87"/>
        <v>16</v>
      </c>
      <c r="FE24" s="167">
        <f t="shared" si="2"/>
        <v>3.2299999999999995</v>
      </c>
      <c r="FF24" s="168">
        <f t="shared" si="88"/>
        <v>22</v>
      </c>
      <c r="FG24" s="167">
        <f t="shared" si="3"/>
        <v>3.0599999999999996</v>
      </c>
      <c r="FH24" s="177">
        <f t="shared" si="89"/>
        <v>16</v>
      </c>
      <c r="FI24"/>
      <c r="FJ24" s="109"/>
      <c r="FN24" s="110"/>
    </row>
    <row r="25" spans="2:170">
      <c r="B25" s="698"/>
      <c r="C25" s="263" t="s">
        <v>84</v>
      </c>
      <c r="D25" s="164">
        <v>55</v>
      </c>
      <c r="E25" s="165">
        <f t="shared" si="4"/>
        <v>2</v>
      </c>
      <c r="F25" s="166">
        <v>0</v>
      </c>
      <c r="G25" s="165">
        <f t="shared" si="5"/>
        <v>1</v>
      </c>
      <c r="H25" s="166">
        <v>0</v>
      </c>
      <c r="I25" s="165">
        <f t="shared" si="6"/>
        <v>1</v>
      </c>
      <c r="J25" s="166">
        <v>0.38</v>
      </c>
      <c r="K25" s="165">
        <f t="shared" si="7"/>
        <v>1</v>
      </c>
      <c r="L25" s="166">
        <v>0</v>
      </c>
      <c r="M25" s="165">
        <f t="shared" si="8"/>
        <v>1</v>
      </c>
      <c r="N25" s="166">
        <v>0</v>
      </c>
      <c r="O25" s="165">
        <f t="shared" si="9"/>
        <v>1</v>
      </c>
      <c r="P25" s="166">
        <v>0</v>
      </c>
      <c r="Q25" s="165">
        <f t="shared" si="10"/>
        <v>1</v>
      </c>
      <c r="R25" s="166">
        <v>0</v>
      </c>
      <c r="S25" s="165">
        <f t="shared" si="11"/>
        <v>1</v>
      </c>
      <c r="T25" s="166">
        <v>0</v>
      </c>
      <c r="U25" s="165">
        <f t="shared" si="12"/>
        <v>1</v>
      </c>
      <c r="V25" s="166">
        <v>0</v>
      </c>
      <c r="W25" s="165">
        <f t="shared" si="13"/>
        <v>1</v>
      </c>
      <c r="X25" s="166">
        <v>0</v>
      </c>
      <c r="Y25" s="165">
        <f t="shared" si="14"/>
        <v>1</v>
      </c>
      <c r="Z25" s="166">
        <v>16</v>
      </c>
      <c r="AA25" s="165">
        <f t="shared" si="15"/>
        <v>2</v>
      </c>
      <c r="AB25" s="166">
        <v>0</v>
      </c>
      <c r="AC25" s="165">
        <f t="shared" si="16"/>
        <v>1</v>
      </c>
      <c r="AD25" s="166">
        <v>0</v>
      </c>
      <c r="AE25" s="165">
        <f t="shared" si="17"/>
        <v>1</v>
      </c>
      <c r="AF25" s="166">
        <v>0</v>
      </c>
      <c r="AG25" s="165">
        <f t="shared" si="18"/>
        <v>1</v>
      </c>
      <c r="AH25" s="166">
        <v>0</v>
      </c>
      <c r="AI25" s="165">
        <f t="shared" si="19"/>
        <v>1</v>
      </c>
      <c r="AJ25" s="166">
        <v>0</v>
      </c>
      <c r="AK25" s="165">
        <f t="shared" si="20"/>
        <v>1</v>
      </c>
      <c r="AL25" s="166">
        <v>40</v>
      </c>
      <c r="AM25" s="165">
        <f t="shared" si="21"/>
        <v>2</v>
      </c>
      <c r="AN25" s="166">
        <v>0</v>
      </c>
      <c r="AO25" s="165">
        <f t="shared" si="22"/>
        <v>1</v>
      </c>
      <c r="AP25" s="166">
        <v>50</v>
      </c>
      <c r="AQ25" s="165">
        <f t="shared" si="23"/>
        <v>2</v>
      </c>
      <c r="AR25" s="166">
        <v>0</v>
      </c>
      <c r="AS25" s="165">
        <f t="shared" si="24"/>
        <v>1</v>
      </c>
      <c r="AT25" s="166">
        <v>0</v>
      </c>
      <c r="AU25" s="165">
        <f t="shared" si="25"/>
        <v>1</v>
      </c>
      <c r="AV25" s="166">
        <v>120.5</v>
      </c>
      <c r="AW25" s="165">
        <f t="shared" si="26"/>
        <v>2</v>
      </c>
      <c r="AX25" s="166">
        <v>2450</v>
      </c>
      <c r="AY25" s="165">
        <f t="shared" si="27"/>
        <v>2</v>
      </c>
      <c r="AZ25" s="166">
        <v>170</v>
      </c>
      <c r="BA25" s="165">
        <f t="shared" si="28"/>
        <v>2</v>
      </c>
      <c r="BB25" s="216">
        <f t="shared" si="29"/>
        <v>0.76000000000000012</v>
      </c>
      <c r="BC25" s="168">
        <f t="shared" si="30"/>
        <v>15</v>
      </c>
      <c r="BD25" s="216">
        <f t="shared" si="31"/>
        <v>0.52</v>
      </c>
      <c r="BE25" s="169">
        <f t="shared" si="32"/>
        <v>13</v>
      </c>
      <c r="BF25" s="170">
        <v>1500</v>
      </c>
      <c r="BG25" s="171">
        <f t="shared" si="33"/>
        <v>2</v>
      </c>
      <c r="BH25" s="172">
        <v>1500</v>
      </c>
      <c r="BI25" s="171">
        <f t="shared" si="34"/>
        <v>2</v>
      </c>
      <c r="BJ25" s="172">
        <v>39000</v>
      </c>
      <c r="BK25" s="171">
        <f t="shared" si="35"/>
        <v>2</v>
      </c>
      <c r="BL25" s="172">
        <v>52000</v>
      </c>
      <c r="BM25" s="171">
        <f t="shared" si="36"/>
        <v>3</v>
      </c>
      <c r="BN25" s="172">
        <v>7002</v>
      </c>
      <c r="BO25" s="171">
        <f t="shared" si="37"/>
        <v>2</v>
      </c>
      <c r="BP25" s="172">
        <v>7002</v>
      </c>
      <c r="BQ25" s="171">
        <f t="shared" si="38"/>
        <v>2</v>
      </c>
      <c r="BR25" s="172">
        <v>40000</v>
      </c>
      <c r="BS25" s="171">
        <f t="shared" si="39"/>
        <v>3</v>
      </c>
      <c r="BT25" s="172">
        <v>40000</v>
      </c>
      <c r="BU25" s="171">
        <f t="shared" si="40"/>
        <v>3</v>
      </c>
      <c r="BV25" s="172">
        <v>260</v>
      </c>
      <c r="BW25" s="171">
        <f t="shared" si="41"/>
        <v>3</v>
      </c>
      <c r="BX25" s="172">
        <v>260</v>
      </c>
      <c r="BY25" s="171">
        <f t="shared" si="42"/>
        <v>3</v>
      </c>
      <c r="BZ25" s="167">
        <v>41.116</v>
      </c>
      <c r="CA25" s="171">
        <f t="shared" si="43"/>
        <v>3</v>
      </c>
      <c r="CB25" s="167">
        <v>118.616</v>
      </c>
      <c r="CC25" s="171">
        <f t="shared" si="44"/>
        <v>4</v>
      </c>
      <c r="CD25" s="167">
        <f t="shared" si="45"/>
        <v>2.5</v>
      </c>
      <c r="CE25" s="168">
        <f t="shared" si="46"/>
        <v>4</v>
      </c>
      <c r="CF25" s="167">
        <f t="shared" si="47"/>
        <v>2.8333333333333335</v>
      </c>
      <c r="CG25" s="169">
        <f t="shared" si="48"/>
        <v>3</v>
      </c>
      <c r="CH25" s="167">
        <v>2.77</v>
      </c>
      <c r="CI25" s="171">
        <f t="shared" si="49"/>
        <v>19</v>
      </c>
      <c r="CJ25" s="167">
        <v>2.83</v>
      </c>
      <c r="CK25" s="171">
        <f t="shared" si="50"/>
        <v>19</v>
      </c>
      <c r="CL25" s="167">
        <v>11</v>
      </c>
      <c r="CM25" s="171">
        <f t="shared" si="51"/>
        <v>4</v>
      </c>
      <c r="CN25" s="167">
        <v>415</v>
      </c>
      <c r="CO25" s="171">
        <f t="shared" si="52"/>
        <v>14</v>
      </c>
      <c r="CP25" s="167">
        <v>291</v>
      </c>
      <c r="CQ25" s="171">
        <f t="shared" si="53"/>
        <v>14</v>
      </c>
      <c r="CR25" s="167">
        <v>82.8</v>
      </c>
      <c r="CS25" s="171">
        <f t="shared" si="54"/>
        <v>7</v>
      </c>
      <c r="CT25" s="167">
        <f>CR25+4.8</f>
        <v>87.6</v>
      </c>
      <c r="CU25" s="171">
        <f t="shared" si="55"/>
        <v>7</v>
      </c>
      <c r="CV25" s="167">
        <v>26.8</v>
      </c>
      <c r="CW25" s="171">
        <f t="shared" si="56"/>
        <v>17</v>
      </c>
      <c r="CX25" s="167">
        <v>31.700000000000003</v>
      </c>
      <c r="CY25" s="171">
        <f t="shared" si="57"/>
        <v>7</v>
      </c>
      <c r="CZ25" s="167">
        <f t="shared" si="0"/>
        <v>12.2</v>
      </c>
      <c r="DA25" s="168">
        <f t="shared" si="58"/>
        <v>13</v>
      </c>
      <c r="DB25" s="167">
        <f t="shared" si="59"/>
        <v>10.199999999999999</v>
      </c>
      <c r="DC25" s="169">
        <f t="shared" si="1"/>
        <v>7</v>
      </c>
      <c r="DD25" s="173">
        <v>68.3</v>
      </c>
      <c r="DE25" s="171">
        <f t="shared" si="60"/>
        <v>4</v>
      </c>
      <c r="DF25" s="167">
        <v>3.89</v>
      </c>
      <c r="DG25" s="171">
        <f t="shared" si="61"/>
        <v>6</v>
      </c>
      <c r="DH25" s="174">
        <v>2.826E-2</v>
      </c>
      <c r="DI25" s="171">
        <f t="shared" si="62"/>
        <v>5</v>
      </c>
      <c r="DJ25" s="175">
        <v>0.17899999999999999</v>
      </c>
      <c r="DK25" s="171">
        <f t="shared" si="63"/>
        <v>23</v>
      </c>
      <c r="DL25" s="167">
        <v>72.3</v>
      </c>
      <c r="DM25" s="171">
        <f t="shared" si="64"/>
        <v>2</v>
      </c>
      <c r="DN25" s="167">
        <v>69.459999999999994</v>
      </c>
      <c r="DO25" s="171">
        <f t="shared" si="65"/>
        <v>7</v>
      </c>
      <c r="DP25" s="167">
        <v>6</v>
      </c>
      <c r="DQ25" s="171">
        <f t="shared" si="66"/>
        <v>2</v>
      </c>
      <c r="DR25" s="167">
        <v>79.8</v>
      </c>
      <c r="DS25" s="171">
        <f t="shared" si="67"/>
        <v>18</v>
      </c>
      <c r="DT25" s="167">
        <v>2.8000000000000001E-2</v>
      </c>
      <c r="DU25" s="171">
        <f t="shared" si="68"/>
        <v>15</v>
      </c>
      <c r="DV25" s="167">
        <f t="shared" si="69"/>
        <v>9.1111111111111107</v>
      </c>
      <c r="DW25" s="169">
        <f t="shared" si="70"/>
        <v>6</v>
      </c>
      <c r="DX25" s="176"/>
      <c r="DY25" s="173">
        <v>7.7795875999999993</v>
      </c>
      <c r="DZ25" s="171">
        <f t="shared" si="71"/>
        <v>3</v>
      </c>
      <c r="EA25" s="167">
        <v>62.9</v>
      </c>
      <c r="EB25" s="171">
        <f t="shared" si="72"/>
        <v>2</v>
      </c>
      <c r="EC25" s="167">
        <v>1.5</v>
      </c>
      <c r="ED25" s="171">
        <f t="shared" si="73"/>
        <v>2</v>
      </c>
      <c r="EE25" s="167">
        <v>17.86</v>
      </c>
      <c r="EF25" s="171">
        <f t="shared" si="74"/>
        <v>2</v>
      </c>
      <c r="EG25" s="167">
        <v>2.9569999999999999</v>
      </c>
      <c r="EH25" s="171">
        <f t="shared" si="75"/>
        <v>1</v>
      </c>
      <c r="EI25" s="167">
        <v>24.053000000000001</v>
      </c>
      <c r="EJ25" s="171">
        <f t="shared" si="76"/>
        <v>1</v>
      </c>
      <c r="EK25" s="167">
        <v>0.23</v>
      </c>
      <c r="EL25" s="171">
        <f t="shared" si="77"/>
        <v>2</v>
      </c>
      <c r="EM25" s="167">
        <v>0.38</v>
      </c>
      <c r="EN25" s="171">
        <f t="shared" si="78"/>
        <v>2</v>
      </c>
      <c r="EO25" s="167">
        <v>0</v>
      </c>
      <c r="EP25" s="171">
        <f t="shared" si="79"/>
        <v>9</v>
      </c>
      <c r="EQ25" s="167">
        <v>0.01</v>
      </c>
      <c r="ER25" s="171">
        <f t="shared" si="80"/>
        <v>11</v>
      </c>
      <c r="ES25" s="167">
        <v>18.009967078598223</v>
      </c>
      <c r="ET25" s="171">
        <v>5</v>
      </c>
      <c r="EU25" s="167">
        <v>122.27922885788944</v>
      </c>
      <c r="EV25" s="171">
        <v>5</v>
      </c>
      <c r="EW25" s="167">
        <f t="shared" si="90"/>
        <v>12.4665876</v>
      </c>
      <c r="EX25" s="165">
        <f t="shared" si="81"/>
        <v>2</v>
      </c>
      <c r="EY25" s="167">
        <f t="shared" si="82"/>
        <v>105.20299999999999</v>
      </c>
      <c r="EZ25" s="165">
        <f t="shared" si="83"/>
        <v>2</v>
      </c>
      <c r="FA25" s="167">
        <f t="shared" si="84"/>
        <v>3.5</v>
      </c>
      <c r="FB25" s="168">
        <f t="shared" si="85"/>
        <v>2</v>
      </c>
      <c r="FC25" s="167">
        <f t="shared" si="86"/>
        <v>3.5</v>
      </c>
      <c r="FD25" s="169">
        <f t="shared" si="87"/>
        <v>2</v>
      </c>
      <c r="FE25" s="167">
        <f t="shared" si="2"/>
        <v>1.7100000000000002</v>
      </c>
      <c r="FF25" s="168">
        <f t="shared" si="88"/>
        <v>6</v>
      </c>
      <c r="FG25" s="167">
        <f t="shared" si="3"/>
        <v>1.34</v>
      </c>
      <c r="FH25" s="177">
        <f t="shared" si="89"/>
        <v>3</v>
      </c>
      <c r="FI25"/>
      <c r="FJ25" s="109"/>
      <c r="FK25" s="109"/>
      <c r="FN25" s="110"/>
    </row>
    <row r="26" spans="2:170">
      <c r="B26" s="699" t="s">
        <v>86</v>
      </c>
      <c r="C26" s="263" t="s">
        <v>59</v>
      </c>
      <c r="D26" s="164">
        <v>0</v>
      </c>
      <c r="E26" s="165">
        <f t="shared" si="4"/>
        <v>1</v>
      </c>
      <c r="F26" s="166">
        <v>0</v>
      </c>
      <c r="G26" s="165">
        <f t="shared" si="5"/>
        <v>1</v>
      </c>
      <c r="H26" s="166">
        <v>0</v>
      </c>
      <c r="I26" s="165">
        <f t="shared" si="6"/>
        <v>1</v>
      </c>
      <c r="J26" s="166">
        <v>0</v>
      </c>
      <c r="K26" s="165">
        <f t="shared" si="7"/>
        <v>1</v>
      </c>
      <c r="L26" s="166">
        <v>0</v>
      </c>
      <c r="M26" s="165">
        <f t="shared" si="8"/>
        <v>1</v>
      </c>
      <c r="N26" s="166">
        <v>1700</v>
      </c>
      <c r="O26" s="165">
        <f t="shared" si="9"/>
        <v>3</v>
      </c>
      <c r="P26" s="166">
        <v>36.5</v>
      </c>
      <c r="Q26" s="165">
        <f t="shared" si="10"/>
        <v>3</v>
      </c>
      <c r="R26" s="166">
        <v>39.869450000000001</v>
      </c>
      <c r="S26" s="165">
        <f t="shared" si="11"/>
        <v>2</v>
      </c>
      <c r="T26" s="166">
        <v>151.875</v>
      </c>
      <c r="U26" s="165">
        <f t="shared" si="12"/>
        <v>5</v>
      </c>
      <c r="V26" s="166">
        <v>113</v>
      </c>
      <c r="W26" s="165">
        <f t="shared" si="13"/>
        <v>3</v>
      </c>
      <c r="X26" s="166">
        <v>0</v>
      </c>
      <c r="Y26" s="165">
        <f t="shared" si="14"/>
        <v>1</v>
      </c>
      <c r="Z26" s="166">
        <v>0</v>
      </c>
      <c r="AA26" s="165">
        <f t="shared" si="15"/>
        <v>1</v>
      </c>
      <c r="AB26" s="166">
        <v>0</v>
      </c>
      <c r="AC26" s="165">
        <f t="shared" si="16"/>
        <v>1</v>
      </c>
      <c r="AD26" s="166">
        <v>0</v>
      </c>
      <c r="AE26" s="165">
        <f t="shared" si="17"/>
        <v>1</v>
      </c>
      <c r="AF26" s="166">
        <v>0</v>
      </c>
      <c r="AG26" s="165">
        <f t="shared" si="18"/>
        <v>1</v>
      </c>
      <c r="AH26" s="166">
        <v>0</v>
      </c>
      <c r="AI26" s="165">
        <f t="shared" si="19"/>
        <v>1</v>
      </c>
      <c r="AJ26" s="166">
        <v>0</v>
      </c>
      <c r="AK26" s="165">
        <f t="shared" si="20"/>
        <v>1</v>
      </c>
      <c r="AL26" s="166">
        <v>0</v>
      </c>
      <c r="AM26" s="165">
        <f t="shared" si="21"/>
        <v>1</v>
      </c>
      <c r="AN26" s="166">
        <v>0</v>
      </c>
      <c r="AO26" s="165">
        <f t="shared" si="22"/>
        <v>1</v>
      </c>
      <c r="AP26" s="166">
        <v>0</v>
      </c>
      <c r="AQ26" s="165">
        <f t="shared" si="23"/>
        <v>1</v>
      </c>
      <c r="AR26" s="166">
        <v>0</v>
      </c>
      <c r="AS26" s="165">
        <f t="shared" si="24"/>
        <v>1</v>
      </c>
      <c r="AT26" s="166">
        <v>0</v>
      </c>
      <c r="AU26" s="165">
        <f t="shared" si="25"/>
        <v>1</v>
      </c>
      <c r="AV26" s="166">
        <v>0</v>
      </c>
      <c r="AW26" s="165">
        <f t="shared" si="26"/>
        <v>1</v>
      </c>
      <c r="AX26" s="166">
        <v>0</v>
      </c>
      <c r="AY26" s="165">
        <f t="shared" si="27"/>
        <v>1</v>
      </c>
      <c r="AZ26" s="166">
        <v>0</v>
      </c>
      <c r="BA26" s="165">
        <f t="shared" si="28"/>
        <v>1</v>
      </c>
      <c r="BB26" s="216">
        <f t="shared" si="29"/>
        <v>0.8</v>
      </c>
      <c r="BC26" s="168">
        <f t="shared" si="30"/>
        <v>12</v>
      </c>
      <c r="BD26" s="216">
        <f t="shared" si="31"/>
        <v>0.64</v>
      </c>
      <c r="BE26" s="169">
        <f t="shared" si="32"/>
        <v>8</v>
      </c>
      <c r="BF26" s="170">
        <v>0</v>
      </c>
      <c r="BG26" s="171">
        <f t="shared" si="33"/>
        <v>1</v>
      </c>
      <c r="BH26" s="172">
        <v>0</v>
      </c>
      <c r="BI26" s="171">
        <f t="shared" si="34"/>
        <v>1</v>
      </c>
      <c r="BJ26" s="172">
        <v>0</v>
      </c>
      <c r="BK26" s="171">
        <f t="shared" si="35"/>
        <v>1</v>
      </c>
      <c r="BL26" s="172">
        <v>0</v>
      </c>
      <c r="BM26" s="171">
        <f t="shared" si="36"/>
        <v>1</v>
      </c>
      <c r="BN26" s="172">
        <v>0</v>
      </c>
      <c r="BO26" s="171">
        <f t="shared" si="37"/>
        <v>1</v>
      </c>
      <c r="BP26" s="172">
        <v>0</v>
      </c>
      <c r="BQ26" s="171">
        <f t="shared" si="38"/>
        <v>1</v>
      </c>
      <c r="BR26" s="172">
        <v>0</v>
      </c>
      <c r="BS26" s="171">
        <f t="shared" si="39"/>
        <v>1</v>
      </c>
      <c r="BT26" s="172">
        <v>0</v>
      </c>
      <c r="BU26" s="171">
        <f t="shared" si="40"/>
        <v>1</v>
      </c>
      <c r="BV26" s="172">
        <v>0</v>
      </c>
      <c r="BW26" s="171">
        <f t="shared" si="41"/>
        <v>1</v>
      </c>
      <c r="BX26" s="172">
        <v>0</v>
      </c>
      <c r="BY26" s="171">
        <f t="shared" si="42"/>
        <v>1</v>
      </c>
      <c r="BZ26" s="167">
        <v>0</v>
      </c>
      <c r="CA26" s="171">
        <f t="shared" si="43"/>
        <v>1</v>
      </c>
      <c r="CB26" s="167">
        <v>0</v>
      </c>
      <c r="CC26" s="171">
        <f t="shared" si="44"/>
        <v>1</v>
      </c>
      <c r="CD26" s="167">
        <f t="shared" si="45"/>
        <v>1</v>
      </c>
      <c r="CE26" s="168">
        <f t="shared" si="46"/>
        <v>13</v>
      </c>
      <c r="CF26" s="167">
        <f t="shared" si="47"/>
        <v>1</v>
      </c>
      <c r="CG26" s="169">
        <f t="shared" si="48"/>
        <v>18</v>
      </c>
      <c r="CH26" s="167">
        <v>2.52</v>
      </c>
      <c r="CI26" s="171">
        <f t="shared" si="49"/>
        <v>16</v>
      </c>
      <c r="CJ26" s="167">
        <v>2.5099999999999998</v>
      </c>
      <c r="CK26" s="171">
        <f t="shared" si="50"/>
        <v>16</v>
      </c>
      <c r="CL26" s="167">
        <v>8</v>
      </c>
      <c r="CM26" s="171">
        <f t="shared" si="51"/>
        <v>6</v>
      </c>
      <c r="CN26" s="167">
        <v>182</v>
      </c>
      <c r="CO26" s="171">
        <f t="shared" si="52"/>
        <v>7</v>
      </c>
      <c r="CP26" s="167">
        <v>154</v>
      </c>
      <c r="CQ26" s="171">
        <f t="shared" si="53"/>
        <v>8</v>
      </c>
      <c r="CR26" s="167">
        <v>60.2</v>
      </c>
      <c r="CS26" s="171">
        <f t="shared" si="54"/>
        <v>13</v>
      </c>
      <c r="CT26" s="167">
        <f>CR26+3.4</f>
        <v>63.6</v>
      </c>
      <c r="CU26" s="171">
        <f t="shared" si="55"/>
        <v>14</v>
      </c>
      <c r="CV26" s="167">
        <f>29.4</f>
        <v>29.4</v>
      </c>
      <c r="CW26" s="171">
        <f t="shared" si="56"/>
        <v>9</v>
      </c>
      <c r="CX26" s="167">
        <v>38</v>
      </c>
      <c r="CY26" s="171">
        <f t="shared" si="57"/>
        <v>3</v>
      </c>
      <c r="CZ26" s="167">
        <f t="shared" si="0"/>
        <v>10.199999999999999</v>
      </c>
      <c r="DA26" s="168">
        <f t="shared" si="58"/>
        <v>6</v>
      </c>
      <c r="DB26" s="167">
        <f t="shared" si="59"/>
        <v>9.4</v>
      </c>
      <c r="DC26" s="169">
        <f t="shared" si="1"/>
        <v>5</v>
      </c>
      <c r="DD26" s="173">
        <v>155.67500000000001</v>
      </c>
      <c r="DE26" s="171">
        <f t="shared" si="60"/>
        <v>23</v>
      </c>
      <c r="DF26" s="167">
        <v>2.89</v>
      </c>
      <c r="DG26" s="171">
        <f t="shared" si="61"/>
        <v>24</v>
      </c>
      <c r="DH26" s="174">
        <v>5.5700000000000003E-3</v>
      </c>
      <c r="DI26" s="171">
        <f t="shared" si="62"/>
        <v>19</v>
      </c>
      <c r="DJ26" s="175">
        <v>0.25</v>
      </c>
      <c r="DK26" s="171">
        <f t="shared" si="63"/>
        <v>13</v>
      </c>
      <c r="DL26" s="167">
        <v>13.2</v>
      </c>
      <c r="DM26" s="171">
        <f t="shared" si="64"/>
        <v>20</v>
      </c>
      <c r="DN26" s="167">
        <v>53.18</v>
      </c>
      <c r="DO26" s="171">
        <f t="shared" si="65"/>
        <v>13</v>
      </c>
      <c r="DP26" s="167">
        <v>126</v>
      </c>
      <c r="DQ26" s="171">
        <f t="shared" si="66"/>
        <v>24</v>
      </c>
      <c r="DR26" s="167">
        <v>69.2</v>
      </c>
      <c r="DS26" s="171">
        <f t="shared" si="67"/>
        <v>23</v>
      </c>
      <c r="DT26" s="167">
        <v>0</v>
      </c>
      <c r="DU26" s="171">
        <f t="shared" si="68"/>
        <v>1</v>
      </c>
      <c r="DV26" s="167">
        <f t="shared" si="69"/>
        <v>17.777777777777779</v>
      </c>
      <c r="DW26" s="169">
        <f t="shared" si="70"/>
        <v>22</v>
      </c>
      <c r="DX26" s="176"/>
      <c r="DY26" s="173">
        <v>2.516E-3</v>
      </c>
      <c r="DZ26" s="171">
        <f t="shared" si="71"/>
        <v>21</v>
      </c>
      <c r="EA26" s="167">
        <v>0</v>
      </c>
      <c r="EB26" s="171">
        <f t="shared" si="72"/>
        <v>22</v>
      </c>
      <c r="EC26" s="167">
        <v>0</v>
      </c>
      <c r="ED26" s="171">
        <f t="shared" si="73"/>
        <v>9</v>
      </c>
      <c r="EE26" s="167">
        <v>0</v>
      </c>
      <c r="EF26" s="171">
        <f t="shared" si="74"/>
        <v>10</v>
      </c>
      <c r="EG26" s="167">
        <v>0</v>
      </c>
      <c r="EH26" s="171">
        <f t="shared" si="75"/>
        <v>16</v>
      </c>
      <c r="EI26" s="167">
        <v>5.0000000000000001E-3</v>
      </c>
      <c r="EJ26" s="171">
        <f t="shared" si="76"/>
        <v>24</v>
      </c>
      <c r="EK26" s="167">
        <v>0</v>
      </c>
      <c r="EL26" s="171">
        <f t="shared" si="77"/>
        <v>14</v>
      </c>
      <c r="EM26" s="167">
        <v>0</v>
      </c>
      <c r="EN26" s="171">
        <f t="shared" si="78"/>
        <v>16</v>
      </c>
      <c r="EO26" s="167">
        <v>0</v>
      </c>
      <c r="EP26" s="171">
        <f t="shared" si="79"/>
        <v>9</v>
      </c>
      <c r="EQ26" s="167">
        <v>0</v>
      </c>
      <c r="ER26" s="171">
        <f t="shared" si="80"/>
        <v>13</v>
      </c>
      <c r="ES26" s="167">
        <v>18.009967078598223</v>
      </c>
      <c r="ET26" s="171">
        <v>5</v>
      </c>
      <c r="EU26" s="167">
        <v>122.27922885788944</v>
      </c>
      <c r="EV26" s="171">
        <v>5</v>
      </c>
      <c r="EW26" s="167">
        <f t="shared" si="90"/>
        <v>2.516E-3</v>
      </c>
      <c r="EX26" s="165">
        <f t="shared" si="81"/>
        <v>23</v>
      </c>
      <c r="EY26" s="167">
        <f t="shared" si="82"/>
        <v>5.0000000000000001E-3</v>
      </c>
      <c r="EZ26" s="165">
        <f t="shared" si="83"/>
        <v>25</v>
      </c>
      <c r="FA26" s="167">
        <f t="shared" si="84"/>
        <v>14</v>
      </c>
      <c r="FB26" s="168">
        <f t="shared" si="85"/>
        <v>24</v>
      </c>
      <c r="FC26" s="167">
        <f t="shared" si="86"/>
        <v>15</v>
      </c>
      <c r="FD26" s="169">
        <f t="shared" si="87"/>
        <v>25</v>
      </c>
      <c r="FE26" s="167">
        <f t="shared" si="2"/>
        <v>3.0700000000000003</v>
      </c>
      <c r="FF26" s="168">
        <f t="shared" si="88"/>
        <v>20</v>
      </c>
      <c r="FG26" s="167">
        <f t="shared" si="3"/>
        <v>3.02</v>
      </c>
      <c r="FH26" s="177">
        <f t="shared" si="89"/>
        <v>14</v>
      </c>
      <c r="FI26"/>
    </row>
    <row r="27" spans="2:170">
      <c r="B27" s="699"/>
      <c r="C27" s="263" t="s">
        <v>11</v>
      </c>
      <c r="D27" s="164">
        <v>10</v>
      </c>
      <c r="E27" s="165">
        <f t="shared" si="4"/>
        <v>2</v>
      </c>
      <c r="F27" s="166">
        <v>0</v>
      </c>
      <c r="G27" s="165">
        <f t="shared" si="5"/>
        <v>1</v>
      </c>
      <c r="H27" s="166">
        <v>0</v>
      </c>
      <c r="I27" s="165">
        <f t="shared" si="6"/>
        <v>1</v>
      </c>
      <c r="J27" s="166">
        <v>2.875</v>
      </c>
      <c r="K27" s="165">
        <f t="shared" si="7"/>
        <v>2</v>
      </c>
      <c r="L27" s="166">
        <v>0</v>
      </c>
      <c r="M27" s="165">
        <f t="shared" si="8"/>
        <v>1</v>
      </c>
      <c r="N27" s="166">
        <v>95</v>
      </c>
      <c r="O27" s="165">
        <f t="shared" si="9"/>
        <v>2</v>
      </c>
      <c r="P27" s="166">
        <v>4.0723404255319142</v>
      </c>
      <c r="Q27" s="165">
        <f t="shared" si="10"/>
        <v>2</v>
      </c>
      <c r="R27" s="166">
        <v>1.5</v>
      </c>
      <c r="S27" s="165">
        <f t="shared" si="11"/>
        <v>2</v>
      </c>
      <c r="T27" s="166">
        <v>4.0723404255319142</v>
      </c>
      <c r="U27" s="165">
        <f t="shared" si="12"/>
        <v>2</v>
      </c>
      <c r="V27" s="166">
        <v>1.5</v>
      </c>
      <c r="W27" s="165">
        <f t="shared" si="13"/>
        <v>2</v>
      </c>
      <c r="X27" s="166">
        <v>11000</v>
      </c>
      <c r="Y27" s="165">
        <f t="shared" si="14"/>
        <v>4</v>
      </c>
      <c r="Z27" s="166">
        <v>0</v>
      </c>
      <c r="AA27" s="165">
        <f t="shared" si="15"/>
        <v>1</v>
      </c>
      <c r="AB27" s="166">
        <v>0</v>
      </c>
      <c r="AC27" s="165">
        <f t="shared" si="16"/>
        <v>1</v>
      </c>
      <c r="AD27" s="166">
        <v>16.5</v>
      </c>
      <c r="AE27" s="165">
        <f t="shared" si="17"/>
        <v>2</v>
      </c>
      <c r="AF27" s="166">
        <v>0</v>
      </c>
      <c r="AG27" s="165">
        <f t="shared" si="18"/>
        <v>1</v>
      </c>
      <c r="AH27" s="166">
        <v>72000</v>
      </c>
      <c r="AI27" s="165">
        <f t="shared" si="19"/>
        <v>5</v>
      </c>
      <c r="AJ27" s="166">
        <v>90</v>
      </c>
      <c r="AK27" s="165">
        <f t="shared" si="20"/>
        <v>2</v>
      </c>
      <c r="AL27" s="166">
        <v>0</v>
      </c>
      <c r="AM27" s="165">
        <f t="shared" si="21"/>
        <v>1</v>
      </c>
      <c r="AN27" s="166">
        <v>100</v>
      </c>
      <c r="AO27" s="165">
        <f t="shared" si="22"/>
        <v>2</v>
      </c>
      <c r="AP27" s="166">
        <v>0</v>
      </c>
      <c r="AQ27" s="165">
        <f t="shared" si="23"/>
        <v>1</v>
      </c>
      <c r="AR27" s="166">
        <v>140000</v>
      </c>
      <c r="AS27" s="165">
        <f t="shared" si="24"/>
        <v>4</v>
      </c>
      <c r="AT27" s="166">
        <v>5151</v>
      </c>
      <c r="AU27" s="165">
        <f t="shared" si="25"/>
        <v>3</v>
      </c>
      <c r="AV27" s="166">
        <v>0</v>
      </c>
      <c r="AW27" s="165">
        <f t="shared" si="26"/>
        <v>1</v>
      </c>
      <c r="AX27" s="166">
        <v>6687</v>
      </c>
      <c r="AY27" s="165">
        <f t="shared" si="27"/>
        <v>3</v>
      </c>
      <c r="AZ27" s="166">
        <v>0</v>
      </c>
      <c r="BA27" s="165">
        <f t="shared" si="28"/>
        <v>1</v>
      </c>
      <c r="BB27" s="216">
        <f t="shared" si="29"/>
        <v>1.28</v>
      </c>
      <c r="BC27" s="168">
        <f t="shared" si="30"/>
        <v>3</v>
      </c>
      <c r="BD27" s="216">
        <f t="shared" si="31"/>
        <v>0.67999999999999994</v>
      </c>
      <c r="BE27" s="169">
        <f t="shared" si="32"/>
        <v>7</v>
      </c>
      <c r="BF27" s="170">
        <v>0</v>
      </c>
      <c r="BG27" s="171">
        <f t="shared" si="33"/>
        <v>1</v>
      </c>
      <c r="BH27" s="172">
        <v>0</v>
      </c>
      <c r="BI27" s="171">
        <f t="shared" si="34"/>
        <v>1</v>
      </c>
      <c r="BJ27" s="172">
        <v>0</v>
      </c>
      <c r="BK27" s="171">
        <f t="shared" si="35"/>
        <v>1</v>
      </c>
      <c r="BL27" s="172">
        <v>0</v>
      </c>
      <c r="BM27" s="171">
        <f t="shared" si="36"/>
        <v>1</v>
      </c>
      <c r="BN27" s="172">
        <v>0</v>
      </c>
      <c r="BO27" s="171">
        <f t="shared" si="37"/>
        <v>1</v>
      </c>
      <c r="BP27" s="172">
        <v>0</v>
      </c>
      <c r="BQ27" s="171">
        <f t="shared" si="38"/>
        <v>1</v>
      </c>
      <c r="BR27" s="172">
        <v>0</v>
      </c>
      <c r="BS27" s="171">
        <f t="shared" si="39"/>
        <v>1</v>
      </c>
      <c r="BT27" s="172">
        <v>0</v>
      </c>
      <c r="BU27" s="171">
        <f t="shared" si="40"/>
        <v>1</v>
      </c>
      <c r="BV27" s="172">
        <v>0</v>
      </c>
      <c r="BW27" s="171">
        <f t="shared" si="41"/>
        <v>1</v>
      </c>
      <c r="BX27" s="172">
        <v>0</v>
      </c>
      <c r="BY27" s="171">
        <f t="shared" si="42"/>
        <v>1</v>
      </c>
      <c r="BZ27" s="167">
        <v>0</v>
      </c>
      <c r="CA27" s="171">
        <f t="shared" si="43"/>
        <v>1</v>
      </c>
      <c r="CB27" s="167">
        <v>0.17499999999999999</v>
      </c>
      <c r="CC27" s="171">
        <f t="shared" si="44"/>
        <v>1</v>
      </c>
      <c r="CD27" s="167">
        <f t="shared" si="45"/>
        <v>1</v>
      </c>
      <c r="CE27" s="168">
        <f t="shared" si="46"/>
        <v>13</v>
      </c>
      <c r="CF27" s="167">
        <f t="shared" si="47"/>
        <v>1</v>
      </c>
      <c r="CG27" s="169">
        <f t="shared" si="48"/>
        <v>18</v>
      </c>
      <c r="CH27" s="167">
        <v>0.95</v>
      </c>
      <c r="CI27" s="171">
        <f t="shared" si="49"/>
        <v>4</v>
      </c>
      <c r="CJ27" s="167">
        <v>0.94</v>
      </c>
      <c r="CK27" s="171">
        <f t="shared" si="50"/>
        <v>3</v>
      </c>
      <c r="CL27" s="167">
        <v>12</v>
      </c>
      <c r="CM27" s="171">
        <f t="shared" si="51"/>
        <v>3</v>
      </c>
      <c r="CN27" s="167">
        <v>88</v>
      </c>
      <c r="CO27" s="171">
        <f t="shared" si="52"/>
        <v>5</v>
      </c>
      <c r="CP27" s="167">
        <v>36</v>
      </c>
      <c r="CQ27" s="171">
        <f t="shared" si="53"/>
        <v>2</v>
      </c>
      <c r="CR27" s="167">
        <v>49.7</v>
      </c>
      <c r="CS27" s="171">
        <f t="shared" si="54"/>
        <v>16</v>
      </c>
      <c r="CT27" s="167">
        <f>CR27+7</f>
        <v>56.7</v>
      </c>
      <c r="CU27" s="171">
        <f t="shared" si="55"/>
        <v>16</v>
      </c>
      <c r="CV27" s="167">
        <v>27.9</v>
      </c>
      <c r="CW27" s="171">
        <f t="shared" si="56"/>
        <v>12</v>
      </c>
      <c r="CX27" s="167">
        <v>26.9</v>
      </c>
      <c r="CY27" s="171">
        <f t="shared" si="57"/>
        <v>10</v>
      </c>
      <c r="CZ27" s="167">
        <f t="shared" si="0"/>
        <v>8</v>
      </c>
      <c r="DA27" s="168">
        <f t="shared" si="58"/>
        <v>2</v>
      </c>
      <c r="DB27" s="167">
        <f t="shared" si="59"/>
        <v>6.8</v>
      </c>
      <c r="DC27" s="169">
        <f>RANK(DB27,$DB$13:$DB$37,1)</f>
        <v>2</v>
      </c>
      <c r="DD27" s="173">
        <v>168.20599999999999</v>
      </c>
      <c r="DE27" s="171">
        <f t="shared" si="60"/>
        <v>25</v>
      </c>
      <c r="DF27" s="167">
        <v>2.99</v>
      </c>
      <c r="DG27" s="171">
        <f t="shared" si="61"/>
        <v>22</v>
      </c>
      <c r="DH27" s="174">
        <v>1.26E-2</v>
      </c>
      <c r="DI27" s="171">
        <f t="shared" si="62"/>
        <v>14</v>
      </c>
      <c r="DJ27" s="175">
        <v>0.17699999999999999</v>
      </c>
      <c r="DK27" s="171">
        <f t="shared" si="63"/>
        <v>24</v>
      </c>
      <c r="DL27" s="167">
        <v>19.8</v>
      </c>
      <c r="DM27" s="171">
        <f t="shared" si="64"/>
        <v>16</v>
      </c>
      <c r="DN27" s="167">
        <v>63.36</v>
      </c>
      <c r="DO27" s="171">
        <f t="shared" si="65"/>
        <v>12</v>
      </c>
      <c r="DP27" s="167">
        <v>124</v>
      </c>
      <c r="DQ27" s="171">
        <f t="shared" si="66"/>
        <v>23</v>
      </c>
      <c r="DR27" s="167">
        <v>67.8</v>
      </c>
      <c r="DS27" s="171">
        <f t="shared" si="67"/>
        <v>24</v>
      </c>
      <c r="DT27" s="167">
        <v>2.5000000000000001E-2</v>
      </c>
      <c r="DU27" s="171">
        <f t="shared" si="68"/>
        <v>14</v>
      </c>
      <c r="DV27" s="167">
        <f t="shared" si="69"/>
        <v>19.333333333333332</v>
      </c>
      <c r="DW27" s="169">
        <f t="shared" si="70"/>
        <v>24</v>
      </c>
      <c r="DX27" s="176"/>
      <c r="DY27" s="173">
        <v>1.2852000000000001E-2</v>
      </c>
      <c r="DZ27" s="171">
        <f t="shared" si="71"/>
        <v>19</v>
      </c>
      <c r="EA27" s="167">
        <v>1.953504E-2</v>
      </c>
      <c r="EB27" s="171">
        <f t="shared" si="72"/>
        <v>20</v>
      </c>
      <c r="EC27" s="167">
        <v>0</v>
      </c>
      <c r="ED27" s="171">
        <f t="shared" si="73"/>
        <v>9</v>
      </c>
      <c r="EE27" s="167">
        <v>0</v>
      </c>
      <c r="EF27" s="171">
        <f t="shared" si="74"/>
        <v>10</v>
      </c>
      <c r="EG27" s="167">
        <v>2E-3</v>
      </c>
      <c r="EH27" s="171">
        <f t="shared" si="75"/>
        <v>15</v>
      </c>
      <c r="EI27" s="167">
        <v>0.95099999999999996</v>
      </c>
      <c r="EJ27" s="171">
        <f t="shared" si="76"/>
        <v>11</v>
      </c>
      <c r="EK27" s="167">
        <v>0</v>
      </c>
      <c r="EL27" s="171">
        <f t="shared" si="77"/>
        <v>14</v>
      </c>
      <c r="EM27" s="167">
        <v>0</v>
      </c>
      <c r="EN27" s="171">
        <f t="shared" si="78"/>
        <v>16</v>
      </c>
      <c r="EO27" s="167">
        <v>0</v>
      </c>
      <c r="EP27" s="171">
        <f t="shared" si="79"/>
        <v>9</v>
      </c>
      <c r="EQ27" s="167">
        <v>0</v>
      </c>
      <c r="ER27" s="171">
        <f t="shared" si="80"/>
        <v>13</v>
      </c>
      <c r="ES27" s="167">
        <v>18.009967078598223</v>
      </c>
      <c r="ET27" s="171">
        <v>5</v>
      </c>
      <c r="EU27" s="167">
        <v>122.27922885788944</v>
      </c>
      <c r="EV27" s="171">
        <v>5</v>
      </c>
      <c r="EW27" s="167">
        <f t="shared" si="90"/>
        <v>1.4852000000000001E-2</v>
      </c>
      <c r="EX27" s="165">
        <f t="shared" si="81"/>
        <v>22</v>
      </c>
      <c r="EY27" s="167">
        <f t="shared" si="82"/>
        <v>0.9705350399999999</v>
      </c>
      <c r="EZ27" s="165">
        <f t="shared" si="83"/>
        <v>15</v>
      </c>
      <c r="FA27" s="167">
        <f t="shared" si="84"/>
        <v>13.5</v>
      </c>
      <c r="FB27" s="168">
        <f t="shared" si="85"/>
        <v>23</v>
      </c>
      <c r="FC27" s="167">
        <f t="shared" si="86"/>
        <v>10</v>
      </c>
      <c r="FD27" s="169">
        <f t="shared" si="87"/>
        <v>15</v>
      </c>
      <c r="FE27" s="167">
        <f t="shared" si="2"/>
        <v>2.5000000000000004</v>
      </c>
      <c r="FF27" s="168">
        <f t="shared" si="88"/>
        <v>12</v>
      </c>
      <c r="FG27" s="167">
        <f t="shared" si="3"/>
        <v>2.5300000000000002</v>
      </c>
      <c r="FH27" s="177">
        <f t="shared" si="89"/>
        <v>12</v>
      </c>
      <c r="FI27"/>
    </row>
    <row r="28" spans="2:170">
      <c r="B28" s="699"/>
      <c r="C28" s="263" t="s">
        <v>39</v>
      </c>
      <c r="D28" s="164">
        <v>0</v>
      </c>
      <c r="E28" s="165">
        <f t="shared" si="4"/>
        <v>1</v>
      </c>
      <c r="F28" s="166">
        <v>0</v>
      </c>
      <c r="G28" s="165">
        <f t="shared" si="5"/>
        <v>1</v>
      </c>
      <c r="H28" s="166">
        <v>0</v>
      </c>
      <c r="I28" s="165">
        <f t="shared" si="6"/>
        <v>1</v>
      </c>
      <c r="J28" s="166">
        <v>0</v>
      </c>
      <c r="K28" s="165">
        <f t="shared" si="7"/>
        <v>1</v>
      </c>
      <c r="L28" s="166">
        <v>0</v>
      </c>
      <c r="M28" s="165">
        <f t="shared" si="8"/>
        <v>1</v>
      </c>
      <c r="N28" s="166">
        <v>8600</v>
      </c>
      <c r="O28" s="165">
        <f t="shared" si="9"/>
        <v>5</v>
      </c>
      <c r="P28" s="166">
        <v>131.17698936170211</v>
      </c>
      <c r="Q28" s="165">
        <f t="shared" si="10"/>
        <v>5</v>
      </c>
      <c r="R28" s="166">
        <v>114</v>
      </c>
      <c r="S28" s="165">
        <f t="shared" si="11"/>
        <v>3</v>
      </c>
      <c r="T28" s="166">
        <v>270.90172340425534</v>
      </c>
      <c r="U28" s="165">
        <f t="shared" si="12"/>
        <v>5</v>
      </c>
      <c r="V28" s="166">
        <v>231.58111702127661</v>
      </c>
      <c r="W28" s="165">
        <f t="shared" si="13"/>
        <v>4</v>
      </c>
      <c r="X28" s="166">
        <v>0</v>
      </c>
      <c r="Y28" s="165">
        <f t="shared" si="14"/>
        <v>1</v>
      </c>
      <c r="Z28" s="166">
        <v>0</v>
      </c>
      <c r="AA28" s="165">
        <f t="shared" si="15"/>
        <v>1</v>
      </c>
      <c r="AB28" s="166">
        <v>0</v>
      </c>
      <c r="AC28" s="165">
        <f t="shared" si="16"/>
        <v>1</v>
      </c>
      <c r="AD28" s="166">
        <v>0</v>
      </c>
      <c r="AE28" s="165">
        <f t="shared" si="17"/>
        <v>1</v>
      </c>
      <c r="AF28" s="166">
        <v>0</v>
      </c>
      <c r="AG28" s="165">
        <f t="shared" si="18"/>
        <v>1</v>
      </c>
      <c r="AH28" s="166">
        <v>0</v>
      </c>
      <c r="AI28" s="165">
        <f t="shared" si="19"/>
        <v>1</v>
      </c>
      <c r="AJ28" s="166">
        <v>0</v>
      </c>
      <c r="AK28" s="165">
        <f t="shared" si="20"/>
        <v>1</v>
      </c>
      <c r="AL28" s="166">
        <v>0</v>
      </c>
      <c r="AM28" s="165">
        <f t="shared" si="21"/>
        <v>1</v>
      </c>
      <c r="AN28" s="166">
        <v>0</v>
      </c>
      <c r="AO28" s="165">
        <f t="shared" si="22"/>
        <v>1</v>
      </c>
      <c r="AP28" s="166">
        <v>0</v>
      </c>
      <c r="AQ28" s="165">
        <f t="shared" si="23"/>
        <v>1</v>
      </c>
      <c r="AR28" s="166">
        <v>0</v>
      </c>
      <c r="AS28" s="165">
        <f t="shared" si="24"/>
        <v>1</v>
      </c>
      <c r="AT28" s="166">
        <v>0</v>
      </c>
      <c r="AU28" s="165">
        <f t="shared" si="25"/>
        <v>1</v>
      </c>
      <c r="AV28" s="166">
        <v>0</v>
      </c>
      <c r="AW28" s="165">
        <f t="shared" si="26"/>
        <v>1</v>
      </c>
      <c r="AX28" s="166">
        <v>540</v>
      </c>
      <c r="AY28" s="165">
        <f t="shared" si="27"/>
        <v>2</v>
      </c>
      <c r="AZ28" s="166">
        <v>0</v>
      </c>
      <c r="BA28" s="165">
        <f t="shared" si="28"/>
        <v>1</v>
      </c>
      <c r="BB28" s="216">
        <f t="shared" si="29"/>
        <v>1</v>
      </c>
      <c r="BC28" s="168">
        <f t="shared" si="30"/>
        <v>6</v>
      </c>
      <c r="BD28" s="216">
        <f t="shared" si="31"/>
        <v>0.72</v>
      </c>
      <c r="BE28" s="169">
        <f t="shared" si="32"/>
        <v>6</v>
      </c>
      <c r="BF28" s="170">
        <v>0</v>
      </c>
      <c r="BG28" s="171">
        <f t="shared" si="33"/>
        <v>1</v>
      </c>
      <c r="BH28" s="172">
        <v>0</v>
      </c>
      <c r="BI28" s="171">
        <f t="shared" si="34"/>
        <v>1</v>
      </c>
      <c r="BJ28" s="172">
        <v>0</v>
      </c>
      <c r="BK28" s="171">
        <f t="shared" si="35"/>
        <v>1</v>
      </c>
      <c r="BL28" s="172">
        <v>0</v>
      </c>
      <c r="BM28" s="171">
        <f t="shared" si="36"/>
        <v>1</v>
      </c>
      <c r="BN28" s="172">
        <v>0</v>
      </c>
      <c r="BO28" s="171">
        <f t="shared" si="37"/>
        <v>1</v>
      </c>
      <c r="BP28" s="172">
        <v>3200</v>
      </c>
      <c r="BQ28" s="171">
        <f t="shared" si="38"/>
        <v>2</v>
      </c>
      <c r="BR28" s="172">
        <v>0</v>
      </c>
      <c r="BS28" s="171">
        <f t="shared" si="39"/>
        <v>1</v>
      </c>
      <c r="BT28" s="172">
        <v>0</v>
      </c>
      <c r="BU28" s="171">
        <f t="shared" si="40"/>
        <v>1</v>
      </c>
      <c r="BV28" s="172">
        <v>0</v>
      </c>
      <c r="BW28" s="171">
        <f t="shared" si="41"/>
        <v>1</v>
      </c>
      <c r="BX28" s="172">
        <v>0</v>
      </c>
      <c r="BY28" s="171">
        <f t="shared" si="42"/>
        <v>1</v>
      </c>
      <c r="BZ28" s="167">
        <v>0</v>
      </c>
      <c r="CA28" s="171">
        <f t="shared" si="43"/>
        <v>1</v>
      </c>
      <c r="CB28" s="167">
        <v>0</v>
      </c>
      <c r="CC28" s="171">
        <f t="shared" si="44"/>
        <v>1</v>
      </c>
      <c r="CD28" s="167">
        <f t="shared" si="45"/>
        <v>1</v>
      </c>
      <c r="CE28" s="168">
        <f t="shared" si="46"/>
        <v>13</v>
      </c>
      <c r="CF28" s="167">
        <f t="shared" si="47"/>
        <v>1.1666666666666667</v>
      </c>
      <c r="CG28" s="169">
        <f t="shared" si="48"/>
        <v>12</v>
      </c>
      <c r="CH28" s="167">
        <v>4.49</v>
      </c>
      <c r="CI28" s="171">
        <f t="shared" si="49"/>
        <v>25</v>
      </c>
      <c r="CJ28" s="167">
        <v>4.6100000000000003</v>
      </c>
      <c r="CK28" s="171">
        <f t="shared" si="50"/>
        <v>25</v>
      </c>
      <c r="CL28" s="167">
        <v>5</v>
      </c>
      <c r="CM28" s="171">
        <f t="shared" si="51"/>
        <v>16</v>
      </c>
      <c r="CN28" s="167">
        <v>182</v>
      </c>
      <c r="CO28" s="171">
        <f t="shared" si="52"/>
        <v>7</v>
      </c>
      <c r="CP28" s="167">
        <v>154</v>
      </c>
      <c r="CQ28" s="171">
        <f t="shared" si="53"/>
        <v>8</v>
      </c>
      <c r="CR28" s="167">
        <v>63.4</v>
      </c>
      <c r="CS28" s="171">
        <f t="shared" si="54"/>
        <v>12</v>
      </c>
      <c r="CT28" s="167">
        <f>CR28+3.7</f>
        <v>67.099999999999994</v>
      </c>
      <c r="CU28" s="171">
        <f t="shared" si="55"/>
        <v>12</v>
      </c>
      <c r="CV28" s="167">
        <v>27.5</v>
      </c>
      <c r="CW28" s="171">
        <f t="shared" si="56"/>
        <v>15</v>
      </c>
      <c r="CX28" s="167">
        <v>28.2</v>
      </c>
      <c r="CY28" s="171">
        <f t="shared" si="57"/>
        <v>8</v>
      </c>
      <c r="CZ28" s="167">
        <f t="shared" si="0"/>
        <v>15</v>
      </c>
      <c r="DA28" s="168">
        <f t="shared" si="58"/>
        <v>18</v>
      </c>
      <c r="DB28" s="167">
        <f t="shared" si="59"/>
        <v>13.8</v>
      </c>
      <c r="DC28" s="169">
        <f t="shared" si="1"/>
        <v>15</v>
      </c>
      <c r="DD28" s="173">
        <v>158.756</v>
      </c>
      <c r="DE28" s="171">
        <f t="shared" si="60"/>
        <v>24</v>
      </c>
      <c r="DF28" s="167">
        <v>3.32</v>
      </c>
      <c r="DG28" s="171">
        <f t="shared" si="61"/>
        <v>17</v>
      </c>
      <c r="DH28" s="174">
        <v>3.5000000000000001E-3</v>
      </c>
      <c r="DI28" s="171">
        <f t="shared" si="62"/>
        <v>22</v>
      </c>
      <c r="DJ28" s="175">
        <v>0.20499999999999999</v>
      </c>
      <c r="DK28" s="171">
        <f t="shared" si="63"/>
        <v>19</v>
      </c>
      <c r="DL28" s="167">
        <v>14.6</v>
      </c>
      <c r="DM28" s="171">
        <f t="shared" si="64"/>
        <v>19</v>
      </c>
      <c r="DN28" s="167">
        <v>77.72</v>
      </c>
      <c r="DO28" s="171">
        <f t="shared" si="65"/>
        <v>4</v>
      </c>
      <c r="DP28" s="167">
        <v>59</v>
      </c>
      <c r="DQ28" s="171">
        <f t="shared" si="66"/>
        <v>16</v>
      </c>
      <c r="DR28" s="167">
        <v>89</v>
      </c>
      <c r="DS28" s="171">
        <f t="shared" si="67"/>
        <v>1</v>
      </c>
      <c r="DT28" s="167">
        <v>0</v>
      </c>
      <c r="DU28" s="171">
        <f t="shared" si="68"/>
        <v>1</v>
      </c>
      <c r="DV28" s="167">
        <f t="shared" si="69"/>
        <v>13.666666666666666</v>
      </c>
      <c r="DW28" s="169">
        <f t="shared" si="70"/>
        <v>16</v>
      </c>
      <c r="DX28" s="176"/>
      <c r="DY28" s="173">
        <v>1.38889728E-2</v>
      </c>
      <c r="DZ28" s="171">
        <f t="shared" si="71"/>
        <v>18</v>
      </c>
      <c r="EA28" s="167">
        <v>2.1111238655999998E-2</v>
      </c>
      <c r="EB28" s="171">
        <f t="shared" si="72"/>
        <v>19</v>
      </c>
      <c r="EC28" s="167">
        <v>0</v>
      </c>
      <c r="ED28" s="171">
        <f t="shared" si="73"/>
        <v>9</v>
      </c>
      <c r="EE28" s="167">
        <v>0</v>
      </c>
      <c r="EF28" s="171">
        <f t="shared" si="74"/>
        <v>10</v>
      </c>
      <c r="EG28" s="167">
        <v>4.0000000000000001E-3</v>
      </c>
      <c r="EH28" s="171">
        <f t="shared" si="75"/>
        <v>13</v>
      </c>
      <c r="EI28" s="167">
        <v>1.7000000000000001E-2</v>
      </c>
      <c r="EJ28" s="171">
        <f t="shared" si="76"/>
        <v>23</v>
      </c>
      <c r="EK28" s="167">
        <v>0</v>
      </c>
      <c r="EL28" s="171">
        <f t="shared" si="77"/>
        <v>14</v>
      </c>
      <c r="EM28" s="167">
        <v>0</v>
      </c>
      <c r="EN28" s="171">
        <f t="shared" si="78"/>
        <v>16</v>
      </c>
      <c r="EO28" s="167">
        <v>0</v>
      </c>
      <c r="EP28" s="171">
        <f t="shared" si="79"/>
        <v>9</v>
      </c>
      <c r="EQ28" s="167">
        <v>0</v>
      </c>
      <c r="ER28" s="171">
        <f t="shared" si="80"/>
        <v>13</v>
      </c>
      <c r="ES28" s="167">
        <v>18.009967078598223</v>
      </c>
      <c r="ET28" s="171">
        <v>5</v>
      </c>
      <c r="EU28" s="167">
        <v>122.27922885788944</v>
      </c>
      <c r="EV28" s="171">
        <v>5</v>
      </c>
      <c r="EW28" s="167">
        <f t="shared" si="90"/>
        <v>1.78889728E-2</v>
      </c>
      <c r="EX28" s="165">
        <f t="shared" si="81"/>
        <v>20</v>
      </c>
      <c r="EY28" s="167">
        <f t="shared" si="82"/>
        <v>3.8111238655999996E-2</v>
      </c>
      <c r="EZ28" s="165">
        <f t="shared" si="83"/>
        <v>23</v>
      </c>
      <c r="FA28" s="167">
        <f t="shared" si="84"/>
        <v>12.5</v>
      </c>
      <c r="FB28" s="168">
        <f t="shared" si="85"/>
        <v>20</v>
      </c>
      <c r="FC28" s="167">
        <f t="shared" si="86"/>
        <v>14</v>
      </c>
      <c r="FD28" s="169">
        <f t="shared" si="87"/>
        <v>23</v>
      </c>
      <c r="FE28" s="167">
        <f t="shared" si="2"/>
        <v>2.85</v>
      </c>
      <c r="FF28" s="168">
        <f t="shared" si="88"/>
        <v>17</v>
      </c>
      <c r="FG28" s="167">
        <f t="shared" si="3"/>
        <v>2.8200000000000003</v>
      </c>
      <c r="FH28" s="177">
        <f t="shared" si="89"/>
        <v>13</v>
      </c>
      <c r="FI28"/>
    </row>
    <row r="29" spans="2:170">
      <c r="B29" s="700" t="s">
        <v>89</v>
      </c>
      <c r="C29" s="262" t="s">
        <v>6</v>
      </c>
      <c r="D29" s="164">
        <v>80</v>
      </c>
      <c r="E29" s="165">
        <f t="shared" si="4"/>
        <v>2</v>
      </c>
      <c r="F29" s="166">
        <v>0</v>
      </c>
      <c r="G29" s="165">
        <f t="shared" si="5"/>
        <v>1</v>
      </c>
      <c r="H29" s="166">
        <v>117.733</v>
      </c>
      <c r="I29" s="165">
        <f t="shared" si="6"/>
        <v>5</v>
      </c>
      <c r="J29" s="166">
        <v>0</v>
      </c>
      <c r="K29" s="165">
        <f t="shared" si="7"/>
        <v>1</v>
      </c>
      <c r="L29" s="166">
        <v>160.03300000675006</v>
      </c>
      <c r="M29" s="165">
        <f t="shared" si="8"/>
        <v>5</v>
      </c>
      <c r="N29" s="166">
        <v>1000</v>
      </c>
      <c r="O29" s="165">
        <f t="shared" si="9"/>
        <v>2</v>
      </c>
      <c r="P29" s="166">
        <v>73.984042553191486</v>
      </c>
      <c r="Q29" s="165">
        <f t="shared" si="10"/>
        <v>4</v>
      </c>
      <c r="R29" s="166">
        <v>352.9531914893617</v>
      </c>
      <c r="S29" s="165">
        <f t="shared" si="11"/>
        <v>5</v>
      </c>
      <c r="T29" s="166">
        <v>155.68085106382978</v>
      </c>
      <c r="U29" s="165">
        <f t="shared" si="12"/>
        <v>5</v>
      </c>
      <c r="V29" s="166">
        <v>547.20734042553192</v>
      </c>
      <c r="W29" s="165">
        <f t="shared" si="13"/>
        <v>5</v>
      </c>
      <c r="X29" s="166">
        <v>2800</v>
      </c>
      <c r="Y29" s="165">
        <f t="shared" si="14"/>
        <v>2</v>
      </c>
      <c r="Z29" s="166">
        <v>82.5</v>
      </c>
      <c r="AA29" s="165">
        <f t="shared" si="15"/>
        <v>4</v>
      </c>
      <c r="AB29" s="166">
        <v>713.04849999999999</v>
      </c>
      <c r="AC29" s="165">
        <f t="shared" si="16"/>
        <v>5</v>
      </c>
      <c r="AD29" s="166">
        <v>110</v>
      </c>
      <c r="AE29" s="165">
        <f t="shared" si="17"/>
        <v>4</v>
      </c>
      <c r="AF29" s="166">
        <v>845.04499999999996</v>
      </c>
      <c r="AG29" s="165">
        <f t="shared" si="18"/>
        <v>5</v>
      </c>
      <c r="AH29" s="166">
        <v>73000</v>
      </c>
      <c r="AI29" s="165">
        <f t="shared" si="19"/>
        <v>5</v>
      </c>
      <c r="AJ29" s="166">
        <v>700</v>
      </c>
      <c r="AK29" s="165">
        <f t="shared" si="20"/>
        <v>5</v>
      </c>
      <c r="AL29" s="166">
        <v>267.2</v>
      </c>
      <c r="AM29" s="165">
        <f t="shared" si="21"/>
        <v>5</v>
      </c>
      <c r="AN29" s="166">
        <v>1000</v>
      </c>
      <c r="AO29" s="165">
        <f t="shared" si="22"/>
        <v>5</v>
      </c>
      <c r="AP29" s="166">
        <v>267.2</v>
      </c>
      <c r="AQ29" s="165">
        <f t="shared" si="23"/>
        <v>5</v>
      </c>
      <c r="AR29" s="166">
        <v>54000</v>
      </c>
      <c r="AS29" s="165">
        <f t="shared" si="24"/>
        <v>4</v>
      </c>
      <c r="AT29" s="166">
        <v>14492</v>
      </c>
      <c r="AU29" s="165">
        <f t="shared" si="25"/>
        <v>4</v>
      </c>
      <c r="AV29" s="166">
        <v>3666</v>
      </c>
      <c r="AW29" s="165">
        <f t="shared" si="26"/>
        <v>5</v>
      </c>
      <c r="AX29" s="166">
        <v>19672</v>
      </c>
      <c r="AY29" s="165">
        <f t="shared" si="27"/>
        <v>5</v>
      </c>
      <c r="AZ29" s="166">
        <v>4715</v>
      </c>
      <c r="BA29" s="165">
        <f t="shared" si="28"/>
        <v>5</v>
      </c>
      <c r="BB29" s="216">
        <f t="shared" si="29"/>
        <v>2.3199999999999998</v>
      </c>
      <c r="BC29" s="168">
        <f t="shared" si="30"/>
        <v>1</v>
      </c>
      <c r="BD29" s="216">
        <f t="shared" si="31"/>
        <v>1.8</v>
      </c>
      <c r="BE29" s="169">
        <f t="shared" si="32"/>
        <v>1</v>
      </c>
      <c r="BF29" s="170">
        <v>51400</v>
      </c>
      <c r="BG29" s="171">
        <f t="shared" si="33"/>
        <v>5</v>
      </c>
      <c r="BH29" s="172">
        <v>94900</v>
      </c>
      <c r="BI29" s="171">
        <f t="shared" si="34"/>
        <v>5</v>
      </c>
      <c r="BJ29" s="172">
        <v>339000</v>
      </c>
      <c r="BK29" s="171">
        <f t="shared" si="35"/>
        <v>5</v>
      </c>
      <c r="BL29" s="172">
        <v>637800</v>
      </c>
      <c r="BM29" s="171">
        <f t="shared" si="36"/>
        <v>5</v>
      </c>
      <c r="BN29" s="172">
        <v>449440</v>
      </c>
      <c r="BO29" s="171">
        <f t="shared" si="37"/>
        <v>5</v>
      </c>
      <c r="BP29" s="172">
        <v>1293440</v>
      </c>
      <c r="BQ29" s="171">
        <f t="shared" si="38"/>
        <v>5</v>
      </c>
      <c r="BR29" s="172">
        <v>267200</v>
      </c>
      <c r="BS29" s="171">
        <f t="shared" si="39"/>
        <v>5</v>
      </c>
      <c r="BT29" s="172">
        <v>429700</v>
      </c>
      <c r="BU29" s="171">
        <f t="shared" si="40"/>
        <v>5</v>
      </c>
      <c r="BV29" s="172">
        <v>4737</v>
      </c>
      <c r="BW29" s="171">
        <f t="shared" si="41"/>
        <v>5</v>
      </c>
      <c r="BX29" s="172">
        <v>9509</v>
      </c>
      <c r="BY29" s="171">
        <f t="shared" si="42"/>
        <v>5</v>
      </c>
      <c r="BZ29" s="167">
        <v>391.34</v>
      </c>
      <c r="CA29" s="171">
        <f t="shared" si="43"/>
        <v>5</v>
      </c>
      <c r="CB29" s="167">
        <v>1222.92</v>
      </c>
      <c r="CC29" s="171">
        <f t="shared" si="44"/>
        <v>5</v>
      </c>
      <c r="CD29" s="167">
        <f t="shared" si="45"/>
        <v>5</v>
      </c>
      <c r="CE29" s="168">
        <f t="shared" si="46"/>
        <v>1</v>
      </c>
      <c r="CF29" s="167">
        <f t="shared" si="47"/>
        <v>5</v>
      </c>
      <c r="CG29" s="169">
        <f t="shared" si="48"/>
        <v>1</v>
      </c>
      <c r="CH29" s="167">
        <v>3.08</v>
      </c>
      <c r="CI29" s="171">
        <f t="shared" si="49"/>
        <v>22</v>
      </c>
      <c r="CJ29" s="167">
        <v>3.17</v>
      </c>
      <c r="CK29" s="171">
        <f t="shared" si="50"/>
        <v>21</v>
      </c>
      <c r="CL29" s="167">
        <v>51</v>
      </c>
      <c r="CM29" s="171">
        <f t="shared" si="51"/>
        <v>2</v>
      </c>
      <c r="CN29" s="167">
        <v>644</v>
      </c>
      <c r="CO29" s="171">
        <f t="shared" si="52"/>
        <v>20</v>
      </c>
      <c r="CP29" s="167">
        <v>566</v>
      </c>
      <c r="CQ29" s="171">
        <f t="shared" si="53"/>
        <v>21</v>
      </c>
      <c r="CR29" s="167">
        <v>41.8</v>
      </c>
      <c r="CS29" s="171">
        <f t="shared" si="54"/>
        <v>20</v>
      </c>
      <c r="CT29" s="167">
        <f>CR29+5.5</f>
        <v>47.3</v>
      </c>
      <c r="CU29" s="171">
        <f t="shared" si="55"/>
        <v>20</v>
      </c>
      <c r="CV29" s="167">
        <v>34.299999999999997</v>
      </c>
      <c r="CW29" s="171">
        <f t="shared" si="56"/>
        <v>3</v>
      </c>
      <c r="CX29" s="167">
        <v>34.099999999999994</v>
      </c>
      <c r="CY29" s="171">
        <f t="shared" si="57"/>
        <v>5</v>
      </c>
      <c r="CZ29" s="167">
        <f t="shared" si="0"/>
        <v>13.4</v>
      </c>
      <c r="DA29" s="168">
        <f t="shared" si="58"/>
        <v>16</v>
      </c>
      <c r="DB29" s="167">
        <f t="shared" si="59"/>
        <v>13.8</v>
      </c>
      <c r="DC29" s="169">
        <f t="shared" si="1"/>
        <v>15</v>
      </c>
      <c r="DD29" s="173">
        <v>85.983000000000004</v>
      </c>
      <c r="DE29" s="171">
        <f t="shared" si="60"/>
        <v>11</v>
      </c>
      <c r="DF29" s="167">
        <v>3.61</v>
      </c>
      <c r="DG29" s="171">
        <f t="shared" si="61"/>
        <v>11</v>
      </c>
      <c r="DH29" s="174">
        <v>2.1409999999999998E-2</v>
      </c>
      <c r="DI29" s="171">
        <f t="shared" si="62"/>
        <v>8</v>
      </c>
      <c r="DJ29" s="175">
        <v>0.4</v>
      </c>
      <c r="DK29" s="171">
        <f t="shared" si="63"/>
        <v>2</v>
      </c>
      <c r="DL29" s="167">
        <v>68.099999999999994</v>
      </c>
      <c r="DM29" s="171">
        <f t="shared" si="64"/>
        <v>3</v>
      </c>
      <c r="DN29" s="167">
        <v>0</v>
      </c>
      <c r="DO29" s="171">
        <f t="shared" si="65"/>
        <v>15</v>
      </c>
      <c r="DP29" s="167">
        <v>31</v>
      </c>
      <c r="DQ29" s="171">
        <f t="shared" si="66"/>
        <v>11</v>
      </c>
      <c r="DR29" s="167">
        <v>72.400000000000006</v>
      </c>
      <c r="DS29" s="171">
        <f t="shared" si="67"/>
        <v>22</v>
      </c>
      <c r="DT29" s="167">
        <v>8.8999999999999996E-2</v>
      </c>
      <c r="DU29" s="171">
        <f t="shared" si="68"/>
        <v>19</v>
      </c>
      <c r="DV29" s="167">
        <f>AVERAGE(DU29,DS29,DQ29,DM29,DK29,DI29,DG29,DE29)</f>
        <v>10.875</v>
      </c>
      <c r="DW29" s="169">
        <f>RANK(DV29,$DV$13:$DV$37,1)</f>
        <v>11</v>
      </c>
      <c r="DX29" s="176"/>
      <c r="DY29" s="173">
        <v>47</v>
      </c>
      <c r="DZ29" s="171">
        <f t="shared" si="71"/>
        <v>1</v>
      </c>
      <c r="EA29" s="167">
        <v>255.3</v>
      </c>
      <c r="EB29" s="171">
        <f t="shared" si="72"/>
        <v>1</v>
      </c>
      <c r="EC29" s="167">
        <v>4.03</v>
      </c>
      <c r="ED29" s="171">
        <f t="shared" si="73"/>
        <v>1</v>
      </c>
      <c r="EE29" s="167">
        <v>39.75</v>
      </c>
      <c r="EF29" s="171">
        <f t="shared" si="74"/>
        <v>1</v>
      </c>
      <c r="EG29" s="167">
        <v>2.089</v>
      </c>
      <c r="EH29" s="171">
        <f t="shared" si="75"/>
        <v>2</v>
      </c>
      <c r="EI29" s="167">
        <v>14.84</v>
      </c>
      <c r="EJ29" s="171">
        <f t="shared" si="76"/>
        <v>2</v>
      </c>
      <c r="EK29" s="167">
        <v>14.41</v>
      </c>
      <c r="EL29" s="171">
        <f t="shared" si="77"/>
        <v>1</v>
      </c>
      <c r="EM29" s="167">
        <v>21.96</v>
      </c>
      <c r="EN29" s="171">
        <f t="shared" si="78"/>
        <v>1</v>
      </c>
      <c r="EO29" s="167">
        <v>4.3647325986689678</v>
      </c>
      <c r="EP29" s="171">
        <f t="shared" si="79"/>
        <v>1</v>
      </c>
      <c r="EQ29" s="167">
        <v>36.53</v>
      </c>
      <c r="ER29" s="171">
        <f t="shared" si="80"/>
        <v>1</v>
      </c>
      <c r="ES29" s="167">
        <v>78.607313818343613</v>
      </c>
      <c r="ET29" s="171">
        <f t="shared" ref="ET29:ET37" si="91">RANK(ES29,$ES$13:$ES$37,0)</f>
        <v>1</v>
      </c>
      <c r="EU29" s="167">
        <v>402.60398426142297</v>
      </c>
      <c r="EV29" s="171">
        <f t="shared" ref="EV29:EV37" si="92">RANK(EU29,$EU$13:$EU$37,0)</f>
        <v>1</v>
      </c>
      <c r="EW29" s="167">
        <f t="shared" si="90"/>
        <v>71.893732598668961</v>
      </c>
      <c r="EX29" s="165">
        <f t="shared" si="81"/>
        <v>1</v>
      </c>
      <c r="EY29" s="167">
        <f t="shared" si="82"/>
        <v>368.38</v>
      </c>
      <c r="EZ29" s="165">
        <f t="shared" si="83"/>
        <v>1</v>
      </c>
      <c r="FA29" s="167">
        <f t="shared" si="84"/>
        <v>1</v>
      </c>
      <c r="FB29" s="168">
        <f t="shared" si="85"/>
        <v>1</v>
      </c>
      <c r="FC29" s="167">
        <f t="shared" si="86"/>
        <v>1</v>
      </c>
      <c r="FD29" s="169">
        <f t="shared" si="87"/>
        <v>1</v>
      </c>
      <c r="FE29" s="167">
        <f t="shared" si="2"/>
        <v>1.2000000000000002</v>
      </c>
      <c r="FF29" s="168">
        <f t="shared" si="88"/>
        <v>1</v>
      </c>
      <c r="FG29" s="167">
        <f t="shared" si="3"/>
        <v>1.1600000000000001</v>
      </c>
      <c r="FH29" s="177">
        <f t="shared" si="89"/>
        <v>1</v>
      </c>
      <c r="FI29"/>
      <c r="FJ29" s="109"/>
    </row>
    <row r="30" spans="2:170">
      <c r="B30" s="700"/>
      <c r="C30" s="262" t="s">
        <v>8</v>
      </c>
      <c r="D30" s="164">
        <v>0</v>
      </c>
      <c r="E30" s="165">
        <f t="shared" si="4"/>
        <v>1</v>
      </c>
      <c r="F30" s="166">
        <v>0</v>
      </c>
      <c r="G30" s="165">
        <f t="shared" si="5"/>
        <v>1</v>
      </c>
      <c r="H30" s="166">
        <v>4.2</v>
      </c>
      <c r="I30" s="165">
        <f t="shared" si="6"/>
        <v>2</v>
      </c>
      <c r="J30" s="166">
        <v>0</v>
      </c>
      <c r="K30" s="165">
        <f t="shared" si="7"/>
        <v>1</v>
      </c>
      <c r="L30" s="166">
        <v>4.2</v>
      </c>
      <c r="M30" s="165">
        <f t="shared" si="8"/>
        <v>2</v>
      </c>
      <c r="N30" s="166">
        <v>0</v>
      </c>
      <c r="O30" s="165">
        <f t="shared" si="9"/>
        <v>1</v>
      </c>
      <c r="P30" s="166">
        <v>0</v>
      </c>
      <c r="Q30" s="165">
        <f t="shared" si="10"/>
        <v>1</v>
      </c>
      <c r="R30" s="166">
        <v>0</v>
      </c>
      <c r="S30" s="165">
        <f t="shared" si="11"/>
        <v>1</v>
      </c>
      <c r="T30" s="166">
        <v>0</v>
      </c>
      <c r="U30" s="165">
        <f t="shared" si="12"/>
        <v>1</v>
      </c>
      <c r="V30" s="166">
        <v>8.8297872340425521</v>
      </c>
      <c r="W30" s="165">
        <f t="shared" si="13"/>
        <v>2</v>
      </c>
      <c r="X30" s="166">
        <v>0</v>
      </c>
      <c r="Y30" s="165">
        <f t="shared" si="14"/>
        <v>1</v>
      </c>
      <c r="Z30" s="166">
        <v>0</v>
      </c>
      <c r="AA30" s="165">
        <f t="shared" si="15"/>
        <v>1</v>
      </c>
      <c r="AB30" s="166">
        <v>113</v>
      </c>
      <c r="AC30" s="165">
        <f t="shared" si="16"/>
        <v>2</v>
      </c>
      <c r="AD30" s="166">
        <v>0</v>
      </c>
      <c r="AE30" s="165">
        <f t="shared" si="17"/>
        <v>1</v>
      </c>
      <c r="AF30" s="166">
        <v>113</v>
      </c>
      <c r="AG30" s="165">
        <f t="shared" si="18"/>
        <v>2</v>
      </c>
      <c r="AH30" s="166">
        <v>0</v>
      </c>
      <c r="AI30" s="165">
        <f t="shared" si="19"/>
        <v>1</v>
      </c>
      <c r="AJ30" s="166">
        <v>0</v>
      </c>
      <c r="AK30" s="165">
        <f t="shared" si="20"/>
        <v>1</v>
      </c>
      <c r="AL30" s="166">
        <v>77.3</v>
      </c>
      <c r="AM30" s="165">
        <f t="shared" si="21"/>
        <v>3</v>
      </c>
      <c r="AN30" s="166">
        <v>0</v>
      </c>
      <c r="AO30" s="165">
        <f t="shared" si="22"/>
        <v>1</v>
      </c>
      <c r="AP30" s="166">
        <v>77.3</v>
      </c>
      <c r="AQ30" s="165">
        <f t="shared" si="23"/>
        <v>3</v>
      </c>
      <c r="AR30" s="166">
        <v>0</v>
      </c>
      <c r="AS30" s="165">
        <f t="shared" si="24"/>
        <v>1</v>
      </c>
      <c r="AT30" s="166">
        <v>0</v>
      </c>
      <c r="AU30" s="165">
        <f t="shared" si="25"/>
        <v>1</v>
      </c>
      <c r="AV30" s="166">
        <v>34</v>
      </c>
      <c r="AW30" s="165">
        <f t="shared" si="26"/>
        <v>2</v>
      </c>
      <c r="AX30" s="166">
        <v>0</v>
      </c>
      <c r="AY30" s="165">
        <f t="shared" si="27"/>
        <v>1</v>
      </c>
      <c r="AZ30" s="166">
        <v>34</v>
      </c>
      <c r="BA30" s="165">
        <f t="shared" si="28"/>
        <v>2</v>
      </c>
      <c r="BB30" s="216">
        <f t="shared" si="29"/>
        <v>0.8</v>
      </c>
      <c r="BC30" s="168">
        <f t="shared" si="30"/>
        <v>12</v>
      </c>
      <c r="BD30" s="216">
        <f t="shared" si="31"/>
        <v>0.64</v>
      </c>
      <c r="BE30" s="169">
        <f t="shared" si="32"/>
        <v>8</v>
      </c>
      <c r="BF30" s="170">
        <v>7200</v>
      </c>
      <c r="BG30" s="171">
        <f t="shared" si="33"/>
        <v>3</v>
      </c>
      <c r="BH30" s="172">
        <v>7200</v>
      </c>
      <c r="BI30" s="171">
        <f t="shared" si="34"/>
        <v>3</v>
      </c>
      <c r="BJ30" s="172">
        <v>50300</v>
      </c>
      <c r="BK30" s="171">
        <f t="shared" si="35"/>
        <v>3</v>
      </c>
      <c r="BL30" s="172">
        <v>50300</v>
      </c>
      <c r="BM30" s="171">
        <f t="shared" si="36"/>
        <v>3</v>
      </c>
      <c r="BN30" s="172">
        <v>168900</v>
      </c>
      <c r="BO30" s="171">
        <f t="shared" si="37"/>
        <v>4</v>
      </c>
      <c r="BP30" s="172">
        <v>169900</v>
      </c>
      <c r="BQ30" s="171">
        <f t="shared" si="38"/>
        <v>3</v>
      </c>
      <c r="BR30" s="172">
        <v>77300</v>
      </c>
      <c r="BS30" s="171">
        <f t="shared" si="39"/>
        <v>3</v>
      </c>
      <c r="BT30" s="172">
        <v>79300</v>
      </c>
      <c r="BU30" s="171">
        <f t="shared" si="40"/>
        <v>3</v>
      </c>
      <c r="BV30" s="172">
        <v>944</v>
      </c>
      <c r="BW30" s="171">
        <f t="shared" si="41"/>
        <v>4</v>
      </c>
      <c r="BX30" s="172">
        <v>1439</v>
      </c>
      <c r="BY30" s="171">
        <f t="shared" si="42"/>
        <v>4</v>
      </c>
      <c r="BZ30" s="167">
        <v>10.169</v>
      </c>
      <c r="CA30" s="171">
        <f t="shared" si="43"/>
        <v>3</v>
      </c>
      <c r="CB30" s="167">
        <v>10.169</v>
      </c>
      <c r="CC30" s="171">
        <f t="shared" si="44"/>
        <v>1</v>
      </c>
      <c r="CD30" s="167">
        <f t="shared" si="45"/>
        <v>3.3333333333333335</v>
      </c>
      <c r="CE30" s="168">
        <f t="shared" si="46"/>
        <v>2</v>
      </c>
      <c r="CF30" s="167">
        <f t="shared" si="47"/>
        <v>2.8333333333333335</v>
      </c>
      <c r="CG30" s="169">
        <f t="shared" si="48"/>
        <v>3</v>
      </c>
      <c r="CH30" s="167">
        <v>2.25</v>
      </c>
      <c r="CI30" s="171">
        <f t="shared" si="49"/>
        <v>13</v>
      </c>
      <c r="CJ30" s="167">
        <v>2.23</v>
      </c>
      <c r="CK30" s="171">
        <f t="shared" si="50"/>
        <v>12</v>
      </c>
      <c r="CL30" s="167">
        <v>6</v>
      </c>
      <c r="CM30" s="171">
        <f t="shared" si="51"/>
        <v>12</v>
      </c>
      <c r="CN30" s="167">
        <v>434</v>
      </c>
      <c r="CO30" s="171">
        <f t="shared" si="52"/>
        <v>16</v>
      </c>
      <c r="CP30" s="167">
        <v>384</v>
      </c>
      <c r="CQ30" s="171">
        <f t="shared" si="53"/>
        <v>16</v>
      </c>
      <c r="CR30" s="167">
        <v>75.099999999999994</v>
      </c>
      <c r="CS30" s="171">
        <f t="shared" si="54"/>
        <v>9</v>
      </c>
      <c r="CT30" s="167">
        <f>CR30-0.5</f>
        <v>74.599999999999994</v>
      </c>
      <c r="CU30" s="171">
        <f t="shared" si="55"/>
        <v>10</v>
      </c>
      <c r="CV30" s="167">
        <v>41.7</v>
      </c>
      <c r="CW30" s="171">
        <f t="shared" si="56"/>
        <v>1</v>
      </c>
      <c r="CX30" s="167">
        <v>40.5</v>
      </c>
      <c r="CY30" s="171">
        <f t="shared" si="57"/>
        <v>1</v>
      </c>
      <c r="CZ30" s="167">
        <f t="shared" si="0"/>
        <v>10.199999999999999</v>
      </c>
      <c r="DA30" s="168">
        <f t="shared" si="58"/>
        <v>6</v>
      </c>
      <c r="DB30" s="167">
        <f t="shared" si="59"/>
        <v>10.199999999999999</v>
      </c>
      <c r="DC30" s="169">
        <f t="shared" si="1"/>
        <v>7</v>
      </c>
      <c r="DD30" s="173">
        <v>139.80000000000001</v>
      </c>
      <c r="DE30" s="171">
        <f t="shared" si="60"/>
        <v>22</v>
      </c>
      <c r="DF30" s="167">
        <v>4.03</v>
      </c>
      <c r="DG30" s="171">
        <f t="shared" si="61"/>
        <v>3</v>
      </c>
      <c r="DH30" s="174">
        <v>3.2750000000000001E-2</v>
      </c>
      <c r="DI30" s="171">
        <f t="shared" si="62"/>
        <v>3</v>
      </c>
      <c r="DJ30" s="175">
        <v>0.42799999999999999</v>
      </c>
      <c r="DK30" s="171">
        <f t="shared" si="63"/>
        <v>1</v>
      </c>
      <c r="DL30" s="167">
        <v>56.1</v>
      </c>
      <c r="DM30" s="171">
        <f t="shared" si="64"/>
        <v>8</v>
      </c>
      <c r="DN30" s="167">
        <v>0</v>
      </c>
      <c r="DO30" s="171">
        <f t="shared" si="65"/>
        <v>15</v>
      </c>
      <c r="DP30" s="167">
        <v>29</v>
      </c>
      <c r="DQ30" s="171">
        <f t="shared" si="66"/>
        <v>10</v>
      </c>
      <c r="DR30" s="167">
        <v>80</v>
      </c>
      <c r="DS30" s="171">
        <f t="shared" si="67"/>
        <v>16</v>
      </c>
      <c r="DT30" s="167">
        <v>5.0000000000000001E-3</v>
      </c>
      <c r="DU30" s="171">
        <f t="shared" si="68"/>
        <v>10</v>
      </c>
      <c r="DV30" s="167">
        <f>AVERAGE(DU30,DS30,DQ30,DM30,DK30,DI30,DG30,DE30)</f>
        <v>9.125</v>
      </c>
      <c r="DW30" s="169">
        <f t="shared" si="70"/>
        <v>7</v>
      </c>
      <c r="DX30" s="176"/>
      <c r="DY30" s="173">
        <v>1.0062381600000001</v>
      </c>
      <c r="DZ30" s="171">
        <f t="shared" si="71"/>
        <v>9</v>
      </c>
      <c r="EA30" s="167">
        <v>8.3000000000000007</v>
      </c>
      <c r="EB30" s="171">
        <f t="shared" si="72"/>
        <v>8</v>
      </c>
      <c r="EC30" s="167">
        <v>0.01</v>
      </c>
      <c r="ED30" s="171">
        <f t="shared" si="73"/>
        <v>8</v>
      </c>
      <c r="EE30" s="167">
        <v>0.87</v>
      </c>
      <c r="EF30" s="171">
        <f t="shared" si="74"/>
        <v>8</v>
      </c>
      <c r="EG30" s="167">
        <v>0.82199999999999995</v>
      </c>
      <c r="EH30" s="171">
        <f t="shared" si="75"/>
        <v>4</v>
      </c>
      <c r="EI30" s="167">
        <v>1.135</v>
      </c>
      <c r="EJ30" s="171">
        <f t="shared" si="76"/>
        <v>10</v>
      </c>
      <c r="EK30" s="167">
        <v>0</v>
      </c>
      <c r="EL30" s="171">
        <f t="shared" si="77"/>
        <v>14</v>
      </c>
      <c r="EM30" s="167">
        <v>0.06</v>
      </c>
      <c r="EN30" s="171">
        <f t="shared" si="78"/>
        <v>12</v>
      </c>
      <c r="EO30" s="167">
        <v>0</v>
      </c>
      <c r="EP30" s="171">
        <f t="shared" si="79"/>
        <v>9</v>
      </c>
      <c r="EQ30" s="167">
        <v>0</v>
      </c>
      <c r="ER30" s="171">
        <f t="shared" si="80"/>
        <v>13</v>
      </c>
      <c r="ES30" s="167">
        <v>78.607313818343613</v>
      </c>
      <c r="ET30" s="171">
        <f t="shared" si="91"/>
        <v>1</v>
      </c>
      <c r="EU30" s="167">
        <v>402.60398426142297</v>
      </c>
      <c r="EV30" s="171">
        <f t="shared" si="92"/>
        <v>1</v>
      </c>
      <c r="EW30" s="167">
        <f t="shared" si="90"/>
        <v>1.83823816</v>
      </c>
      <c r="EX30" s="165">
        <f t="shared" si="81"/>
        <v>8</v>
      </c>
      <c r="EY30" s="167">
        <f t="shared" si="82"/>
        <v>10.365</v>
      </c>
      <c r="EZ30" s="165">
        <f t="shared" si="83"/>
        <v>8</v>
      </c>
      <c r="FA30" s="167">
        <f t="shared" si="84"/>
        <v>4.5</v>
      </c>
      <c r="FB30" s="168">
        <f t="shared" si="85"/>
        <v>6</v>
      </c>
      <c r="FC30" s="167">
        <f t="shared" si="86"/>
        <v>4.5</v>
      </c>
      <c r="FD30" s="169">
        <f t="shared" si="87"/>
        <v>5</v>
      </c>
      <c r="FE30" s="167">
        <f t="shared" si="2"/>
        <v>1.4200000000000002</v>
      </c>
      <c r="FF30" s="168">
        <f t="shared" si="88"/>
        <v>2</v>
      </c>
      <c r="FG30" s="167">
        <f t="shared" si="3"/>
        <v>1.2500000000000002</v>
      </c>
      <c r="FH30" s="177">
        <f t="shared" si="89"/>
        <v>2</v>
      </c>
      <c r="FI30"/>
      <c r="FJ30" s="109"/>
    </row>
    <row r="31" spans="2:170">
      <c r="B31" s="700"/>
      <c r="C31" s="262" t="s">
        <v>14</v>
      </c>
      <c r="D31" s="164">
        <v>0</v>
      </c>
      <c r="E31" s="165">
        <f t="shared" si="4"/>
        <v>1</v>
      </c>
      <c r="F31" s="166">
        <v>0</v>
      </c>
      <c r="G31" s="165">
        <f t="shared" si="5"/>
        <v>1</v>
      </c>
      <c r="H31" s="166">
        <v>0</v>
      </c>
      <c r="I31" s="165">
        <f t="shared" si="6"/>
        <v>1</v>
      </c>
      <c r="J31" s="166">
        <v>0</v>
      </c>
      <c r="K31" s="165">
        <f t="shared" si="7"/>
        <v>1</v>
      </c>
      <c r="L31" s="166">
        <v>0</v>
      </c>
      <c r="M31" s="165">
        <f t="shared" si="8"/>
        <v>1</v>
      </c>
      <c r="N31" s="166">
        <v>0</v>
      </c>
      <c r="O31" s="165">
        <f t="shared" si="9"/>
        <v>1</v>
      </c>
      <c r="P31" s="166">
        <v>0</v>
      </c>
      <c r="Q31" s="165">
        <f t="shared" si="10"/>
        <v>1</v>
      </c>
      <c r="R31" s="166">
        <v>0</v>
      </c>
      <c r="S31" s="165">
        <f t="shared" si="11"/>
        <v>1</v>
      </c>
      <c r="T31" s="166">
        <v>0</v>
      </c>
      <c r="U31" s="165">
        <f t="shared" si="12"/>
        <v>1</v>
      </c>
      <c r="V31" s="166">
        <v>42.5</v>
      </c>
      <c r="W31" s="165">
        <f t="shared" si="13"/>
        <v>2</v>
      </c>
      <c r="X31" s="166">
        <v>0</v>
      </c>
      <c r="Y31" s="165">
        <f t="shared" si="14"/>
        <v>1</v>
      </c>
      <c r="Z31" s="166">
        <v>0</v>
      </c>
      <c r="AA31" s="165">
        <f t="shared" si="15"/>
        <v>1</v>
      </c>
      <c r="AB31" s="166">
        <v>0</v>
      </c>
      <c r="AC31" s="165">
        <f t="shared" si="16"/>
        <v>1</v>
      </c>
      <c r="AD31" s="166">
        <v>0</v>
      </c>
      <c r="AE31" s="165">
        <f t="shared" si="17"/>
        <v>1</v>
      </c>
      <c r="AF31" s="166">
        <v>0</v>
      </c>
      <c r="AG31" s="165">
        <f t="shared" si="18"/>
        <v>1</v>
      </c>
      <c r="AH31" s="166">
        <v>0</v>
      </c>
      <c r="AI31" s="165">
        <f t="shared" si="19"/>
        <v>1</v>
      </c>
      <c r="AJ31" s="166">
        <v>0</v>
      </c>
      <c r="AK31" s="165">
        <f t="shared" si="20"/>
        <v>1</v>
      </c>
      <c r="AL31" s="166">
        <v>24</v>
      </c>
      <c r="AM31" s="165">
        <f t="shared" si="21"/>
        <v>2</v>
      </c>
      <c r="AN31" s="166">
        <v>0</v>
      </c>
      <c r="AO31" s="165">
        <f t="shared" si="22"/>
        <v>1</v>
      </c>
      <c r="AP31" s="166">
        <v>24</v>
      </c>
      <c r="AQ31" s="165">
        <f t="shared" si="23"/>
        <v>2</v>
      </c>
      <c r="AR31" s="166">
        <v>0</v>
      </c>
      <c r="AS31" s="165">
        <f t="shared" si="24"/>
        <v>1</v>
      </c>
      <c r="AT31" s="166">
        <v>0</v>
      </c>
      <c r="AU31" s="165">
        <f t="shared" si="25"/>
        <v>1</v>
      </c>
      <c r="AV31" s="166">
        <v>0</v>
      </c>
      <c r="AW31" s="165">
        <f t="shared" si="26"/>
        <v>1</v>
      </c>
      <c r="AX31" s="166">
        <v>0</v>
      </c>
      <c r="AY31" s="165">
        <f t="shared" si="27"/>
        <v>1</v>
      </c>
      <c r="AZ31" s="166">
        <v>0</v>
      </c>
      <c r="BA31" s="165">
        <f t="shared" si="28"/>
        <v>1</v>
      </c>
      <c r="BB31" s="216">
        <f t="shared" si="29"/>
        <v>0.64</v>
      </c>
      <c r="BC31" s="168">
        <f t="shared" si="30"/>
        <v>17</v>
      </c>
      <c r="BD31" s="216">
        <f t="shared" si="31"/>
        <v>0.48</v>
      </c>
      <c r="BE31" s="169">
        <f t="shared" si="32"/>
        <v>16</v>
      </c>
      <c r="BF31" s="170">
        <v>2200</v>
      </c>
      <c r="BG31" s="171">
        <f t="shared" si="33"/>
        <v>2</v>
      </c>
      <c r="BH31" s="172">
        <v>2200</v>
      </c>
      <c r="BI31" s="171">
        <f t="shared" si="34"/>
        <v>2</v>
      </c>
      <c r="BJ31" s="172">
        <v>63000</v>
      </c>
      <c r="BK31" s="171">
        <f t="shared" si="35"/>
        <v>3</v>
      </c>
      <c r="BL31" s="172">
        <v>63000</v>
      </c>
      <c r="BM31" s="171">
        <f t="shared" si="36"/>
        <v>3</v>
      </c>
      <c r="BN31" s="172">
        <v>106200</v>
      </c>
      <c r="BO31" s="171">
        <f t="shared" si="37"/>
        <v>4</v>
      </c>
      <c r="BP31" s="172">
        <v>166200</v>
      </c>
      <c r="BQ31" s="171">
        <f t="shared" si="38"/>
        <v>3</v>
      </c>
      <c r="BR31" s="172">
        <v>24000</v>
      </c>
      <c r="BS31" s="171">
        <f t="shared" si="39"/>
        <v>3</v>
      </c>
      <c r="BT31" s="172">
        <v>74000</v>
      </c>
      <c r="BU31" s="171">
        <f t="shared" si="40"/>
        <v>3</v>
      </c>
      <c r="BV31" s="172">
        <v>1295</v>
      </c>
      <c r="BW31" s="171">
        <f t="shared" si="41"/>
        <v>5</v>
      </c>
      <c r="BX31" s="172">
        <v>2340</v>
      </c>
      <c r="BY31" s="171">
        <f t="shared" si="42"/>
        <v>5</v>
      </c>
      <c r="BZ31" s="167">
        <v>27.158999999999999</v>
      </c>
      <c r="CA31" s="171">
        <f t="shared" si="43"/>
        <v>3</v>
      </c>
      <c r="CB31" s="167">
        <v>30.279</v>
      </c>
      <c r="CC31" s="171">
        <f t="shared" si="44"/>
        <v>2</v>
      </c>
      <c r="CD31" s="167">
        <f t="shared" si="45"/>
        <v>3.3333333333333335</v>
      </c>
      <c r="CE31" s="168">
        <f t="shared" si="46"/>
        <v>2</v>
      </c>
      <c r="CF31" s="167">
        <f t="shared" si="47"/>
        <v>3</v>
      </c>
      <c r="CG31" s="169">
        <f t="shared" si="48"/>
        <v>2</v>
      </c>
      <c r="CH31" s="167">
        <v>2.36</v>
      </c>
      <c r="CI31" s="171">
        <f t="shared" si="49"/>
        <v>14</v>
      </c>
      <c r="CJ31" s="167">
        <v>2.42</v>
      </c>
      <c r="CK31" s="171">
        <f t="shared" si="50"/>
        <v>14</v>
      </c>
      <c r="CL31" s="167">
        <v>6</v>
      </c>
      <c r="CM31" s="171">
        <f t="shared" si="51"/>
        <v>12</v>
      </c>
      <c r="CN31" s="167">
        <v>495</v>
      </c>
      <c r="CO31" s="171">
        <f t="shared" si="52"/>
        <v>18</v>
      </c>
      <c r="CP31" s="167">
        <v>464</v>
      </c>
      <c r="CQ31" s="171">
        <f t="shared" si="53"/>
        <v>19</v>
      </c>
      <c r="CR31" s="167">
        <v>81.400000000000006</v>
      </c>
      <c r="CS31" s="171">
        <f t="shared" si="54"/>
        <v>8</v>
      </c>
      <c r="CT31" s="167">
        <f>CR31+2.3</f>
        <v>83.7</v>
      </c>
      <c r="CU31" s="171">
        <f t="shared" si="55"/>
        <v>8</v>
      </c>
      <c r="CV31" s="167">
        <v>32.200000000000003</v>
      </c>
      <c r="CW31" s="171">
        <f t="shared" si="56"/>
        <v>6</v>
      </c>
      <c r="CX31" s="167">
        <v>24.500000000000004</v>
      </c>
      <c r="CY31" s="171">
        <f t="shared" si="57"/>
        <v>14</v>
      </c>
      <c r="CZ31" s="167">
        <f t="shared" si="0"/>
        <v>11.6</v>
      </c>
      <c r="DA31" s="168">
        <f t="shared" si="58"/>
        <v>9</v>
      </c>
      <c r="DB31" s="167">
        <f t="shared" si="59"/>
        <v>13.4</v>
      </c>
      <c r="DC31" s="169">
        <f t="shared" si="1"/>
        <v>13</v>
      </c>
      <c r="DD31" s="173">
        <v>96.8</v>
      </c>
      <c r="DE31" s="171">
        <f t="shared" si="60"/>
        <v>14</v>
      </c>
      <c r="DF31" s="167">
        <v>3.61</v>
      </c>
      <c r="DG31" s="171">
        <f t="shared" si="61"/>
        <v>11</v>
      </c>
      <c r="DH31" s="174">
        <v>4.5280000000000001E-2</v>
      </c>
      <c r="DI31" s="171">
        <f t="shared" si="62"/>
        <v>1</v>
      </c>
      <c r="DJ31" s="175">
        <v>0.29299999999999998</v>
      </c>
      <c r="DK31" s="171">
        <f t="shared" si="63"/>
        <v>5</v>
      </c>
      <c r="DL31" s="167">
        <v>63.1</v>
      </c>
      <c r="DM31" s="171">
        <f t="shared" si="64"/>
        <v>6</v>
      </c>
      <c r="DN31" s="167">
        <v>0</v>
      </c>
      <c r="DO31" s="171">
        <f t="shared" si="65"/>
        <v>15</v>
      </c>
      <c r="DP31" s="167">
        <v>5</v>
      </c>
      <c r="DQ31" s="171">
        <f t="shared" si="66"/>
        <v>1</v>
      </c>
      <c r="DR31" s="167">
        <v>80</v>
      </c>
      <c r="DS31" s="171">
        <f t="shared" si="67"/>
        <v>16</v>
      </c>
      <c r="DT31" s="167">
        <v>0.06</v>
      </c>
      <c r="DU31" s="171">
        <f t="shared" si="68"/>
        <v>17</v>
      </c>
      <c r="DV31" s="167">
        <f>AVERAGE(DU31,DS31,DQ31,DM31,DK31,DI31,DG31,DE31)</f>
        <v>8.875</v>
      </c>
      <c r="DW31" s="169">
        <f t="shared" si="70"/>
        <v>5</v>
      </c>
      <c r="DX31" s="176"/>
      <c r="DY31" s="173">
        <v>1.4204486000000001</v>
      </c>
      <c r="DZ31" s="171">
        <f t="shared" si="71"/>
        <v>7</v>
      </c>
      <c r="EA31" s="167">
        <v>6.4</v>
      </c>
      <c r="EB31" s="171">
        <f t="shared" si="72"/>
        <v>9</v>
      </c>
      <c r="EC31" s="167">
        <v>0.22</v>
      </c>
      <c r="ED31" s="171">
        <f t="shared" si="73"/>
        <v>6</v>
      </c>
      <c r="EE31" s="167">
        <v>1.94</v>
      </c>
      <c r="EF31" s="171">
        <f t="shared" si="74"/>
        <v>7</v>
      </c>
      <c r="EG31" s="167">
        <v>1.8380000000000001</v>
      </c>
      <c r="EH31" s="171">
        <f t="shared" si="75"/>
        <v>3</v>
      </c>
      <c r="EI31" s="167">
        <v>0.61599999999999999</v>
      </c>
      <c r="EJ31" s="171">
        <f t="shared" si="76"/>
        <v>14</v>
      </c>
      <c r="EK31" s="167">
        <v>0.13</v>
      </c>
      <c r="EL31" s="171">
        <f t="shared" si="77"/>
        <v>3</v>
      </c>
      <c r="EM31" s="167">
        <v>0.3</v>
      </c>
      <c r="EN31" s="171">
        <f t="shared" si="78"/>
        <v>3</v>
      </c>
      <c r="EO31" s="167">
        <v>0</v>
      </c>
      <c r="EP31" s="171">
        <f t="shared" si="79"/>
        <v>9</v>
      </c>
      <c r="EQ31" s="167">
        <v>0.03</v>
      </c>
      <c r="ER31" s="171">
        <f t="shared" si="80"/>
        <v>7</v>
      </c>
      <c r="ES31" s="167">
        <v>78.607313818343613</v>
      </c>
      <c r="ET31" s="171">
        <f t="shared" si="91"/>
        <v>1</v>
      </c>
      <c r="EU31" s="167">
        <v>402.60398426142297</v>
      </c>
      <c r="EV31" s="171">
        <f t="shared" si="92"/>
        <v>1</v>
      </c>
      <c r="EW31" s="167">
        <f t="shared" si="90"/>
        <v>3.6084486</v>
      </c>
      <c r="EX31" s="165">
        <f t="shared" si="81"/>
        <v>6</v>
      </c>
      <c r="EY31" s="167">
        <f t="shared" si="82"/>
        <v>9.2859999999999996</v>
      </c>
      <c r="EZ31" s="165">
        <f t="shared" si="83"/>
        <v>9</v>
      </c>
      <c r="FA31" s="167">
        <f t="shared" si="84"/>
        <v>3.5</v>
      </c>
      <c r="FB31" s="168">
        <f t="shared" si="85"/>
        <v>2</v>
      </c>
      <c r="FC31" s="167">
        <f t="shared" si="86"/>
        <v>5</v>
      </c>
      <c r="FD31" s="169">
        <f t="shared" si="87"/>
        <v>7</v>
      </c>
      <c r="FE31" s="167">
        <f t="shared" si="2"/>
        <v>1.55</v>
      </c>
      <c r="FF31" s="168">
        <f t="shared" si="88"/>
        <v>4</v>
      </c>
      <c r="FG31" s="167">
        <f t="shared" si="3"/>
        <v>1.86</v>
      </c>
      <c r="FH31" s="177">
        <f t="shared" si="89"/>
        <v>10</v>
      </c>
      <c r="FI31"/>
      <c r="FJ31" s="109"/>
    </row>
    <row r="32" spans="2:170">
      <c r="B32" s="675" t="s">
        <v>90</v>
      </c>
      <c r="C32" s="262" t="s">
        <v>7</v>
      </c>
      <c r="D32" s="164">
        <v>0</v>
      </c>
      <c r="E32" s="165">
        <f t="shared" si="4"/>
        <v>1</v>
      </c>
      <c r="F32" s="166">
        <v>0</v>
      </c>
      <c r="G32" s="165">
        <f t="shared" si="5"/>
        <v>1</v>
      </c>
      <c r="H32" s="166">
        <v>0</v>
      </c>
      <c r="I32" s="165">
        <f t="shared" si="6"/>
        <v>1</v>
      </c>
      <c r="J32" s="166">
        <v>0</v>
      </c>
      <c r="K32" s="165">
        <f t="shared" si="7"/>
        <v>1</v>
      </c>
      <c r="L32" s="166">
        <v>0</v>
      </c>
      <c r="M32" s="165">
        <f t="shared" si="8"/>
        <v>1</v>
      </c>
      <c r="N32" s="166">
        <v>0</v>
      </c>
      <c r="O32" s="165">
        <f t="shared" si="9"/>
        <v>1</v>
      </c>
      <c r="P32" s="166">
        <v>0</v>
      </c>
      <c r="Q32" s="165">
        <f t="shared" si="10"/>
        <v>1</v>
      </c>
      <c r="R32" s="166">
        <v>0</v>
      </c>
      <c r="S32" s="165">
        <f t="shared" si="11"/>
        <v>1</v>
      </c>
      <c r="T32" s="166">
        <v>0</v>
      </c>
      <c r="U32" s="165">
        <f t="shared" si="12"/>
        <v>1</v>
      </c>
      <c r="V32" s="166">
        <v>0</v>
      </c>
      <c r="W32" s="165">
        <f t="shared" si="13"/>
        <v>1</v>
      </c>
      <c r="X32" s="166">
        <v>0</v>
      </c>
      <c r="Y32" s="165">
        <f t="shared" si="14"/>
        <v>1</v>
      </c>
      <c r="Z32" s="166">
        <v>0</v>
      </c>
      <c r="AA32" s="165">
        <f t="shared" si="15"/>
        <v>1</v>
      </c>
      <c r="AB32" s="166">
        <v>0</v>
      </c>
      <c r="AC32" s="165">
        <f t="shared" si="16"/>
        <v>1</v>
      </c>
      <c r="AD32" s="166">
        <v>0</v>
      </c>
      <c r="AE32" s="165">
        <f t="shared" si="17"/>
        <v>1</v>
      </c>
      <c r="AF32" s="166">
        <v>0</v>
      </c>
      <c r="AG32" s="165">
        <f t="shared" si="18"/>
        <v>1</v>
      </c>
      <c r="AH32" s="166">
        <v>8000</v>
      </c>
      <c r="AI32" s="165">
        <f t="shared" si="19"/>
        <v>2</v>
      </c>
      <c r="AJ32" s="166">
        <v>35</v>
      </c>
      <c r="AK32" s="165">
        <f t="shared" si="20"/>
        <v>2</v>
      </c>
      <c r="AL32" s="166">
        <v>0</v>
      </c>
      <c r="AM32" s="165">
        <f t="shared" si="21"/>
        <v>1</v>
      </c>
      <c r="AN32" s="166">
        <v>40</v>
      </c>
      <c r="AO32" s="165">
        <f t="shared" si="22"/>
        <v>2</v>
      </c>
      <c r="AP32" s="166">
        <v>0</v>
      </c>
      <c r="AQ32" s="165">
        <f t="shared" si="23"/>
        <v>1</v>
      </c>
      <c r="AR32" s="166">
        <v>34000</v>
      </c>
      <c r="AS32" s="165">
        <f t="shared" si="24"/>
        <v>4</v>
      </c>
      <c r="AT32" s="166">
        <v>4611</v>
      </c>
      <c r="AU32" s="165">
        <f t="shared" si="25"/>
        <v>3</v>
      </c>
      <c r="AV32" s="166">
        <v>0</v>
      </c>
      <c r="AW32" s="165">
        <f t="shared" si="26"/>
        <v>1</v>
      </c>
      <c r="AX32" s="166">
        <v>5011</v>
      </c>
      <c r="AY32" s="165">
        <f t="shared" si="27"/>
        <v>3</v>
      </c>
      <c r="AZ32" s="166">
        <v>0</v>
      </c>
      <c r="BA32" s="165">
        <f t="shared" si="28"/>
        <v>1</v>
      </c>
      <c r="BB32" s="216">
        <f t="shared" si="29"/>
        <v>0.88000000000000012</v>
      </c>
      <c r="BC32" s="168">
        <f t="shared" si="30"/>
        <v>9</v>
      </c>
      <c r="BD32" s="216">
        <f t="shared" si="31"/>
        <v>0.52</v>
      </c>
      <c r="BE32" s="169">
        <f t="shared" si="32"/>
        <v>13</v>
      </c>
      <c r="BF32" s="170">
        <v>0</v>
      </c>
      <c r="BG32" s="171">
        <f t="shared" si="33"/>
        <v>1</v>
      </c>
      <c r="BH32" s="172">
        <v>0</v>
      </c>
      <c r="BI32" s="171">
        <f t="shared" si="34"/>
        <v>1</v>
      </c>
      <c r="BJ32" s="172">
        <v>0</v>
      </c>
      <c r="BK32" s="171">
        <f t="shared" si="35"/>
        <v>1</v>
      </c>
      <c r="BL32" s="172">
        <v>0</v>
      </c>
      <c r="BM32" s="171">
        <f t="shared" si="36"/>
        <v>1</v>
      </c>
      <c r="BN32" s="172">
        <v>0</v>
      </c>
      <c r="BO32" s="171">
        <f t="shared" si="37"/>
        <v>1</v>
      </c>
      <c r="BP32" s="172">
        <v>0</v>
      </c>
      <c r="BQ32" s="171">
        <f t="shared" si="38"/>
        <v>1</v>
      </c>
      <c r="BR32" s="172">
        <v>0</v>
      </c>
      <c r="BS32" s="171">
        <f t="shared" si="39"/>
        <v>1</v>
      </c>
      <c r="BT32" s="172">
        <v>0</v>
      </c>
      <c r="BU32" s="171">
        <f t="shared" si="40"/>
        <v>1</v>
      </c>
      <c r="BV32" s="172">
        <v>0</v>
      </c>
      <c r="BW32" s="171">
        <f t="shared" si="41"/>
        <v>1</v>
      </c>
      <c r="BX32" s="172">
        <v>0</v>
      </c>
      <c r="BY32" s="171">
        <f t="shared" si="42"/>
        <v>1</v>
      </c>
      <c r="BZ32" s="167">
        <v>0</v>
      </c>
      <c r="CA32" s="171">
        <f t="shared" si="43"/>
        <v>1</v>
      </c>
      <c r="CB32" s="167">
        <v>5</v>
      </c>
      <c r="CC32" s="171">
        <f t="shared" si="44"/>
        <v>1</v>
      </c>
      <c r="CD32" s="167">
        <f t="shared" si="45"/>
        <v>1</v>
      </c>
      <c r="CE32" s="168">
        <f t="shared" si="46"/>
        <v>13</v>
      </c>
      <c r="CF32" s="167">
        <f t="shared" si="47"/>
        <v>1</v>
      </c>
      <c r="CG32" s="169">
        <f t="shared" si="48"/>
        <v>18</v>
      </c>
      <c r="CH32" s="167">
        <v>3.25</v>
      </c>
      <c r="CI32" s="171">
        <f t="shared" si="49"/>
        <v>23</v>
      </c>
      <c r="CJ32" s="167">
        <v>3.26</v>
      </c>
      <c r="CK32" s="171">
        <f t="shared" si="50"/>
        <v>22</v>
      </c>
      <c r="CL32" s="167">
        <v>77</v>
      </c>
      <c r="CM32" s="171">
        <f t="shared" si="51"/>
        <v>1</v>
      </c>
      <c r="CN32" s="167">
        <v>692</v>
      </c>
      <c r="CO32" s="171">
        <f t="shared" si="52"/>
        <v>24</v>
      </c>
      <c r="CP32" s="167">
        <v>570</v>
      </c>
      <c r="CQ32" s="171">
        <f t="shared" si="53"/>
        <v>22</v>
      </c>
      <c r="CR32" s="167">
        <v>16.3</v>
      </c>
      <c r="CS32" s="171">
        <f t="shared" si="54"/>
        <v>25</v>
      </c>
      <c r="CT32" s="167">
        <f>CR32+0.4</f>
        <v>16.7</v>
      </c>
      <c r="CU32" s="171">
        <f t="shared" si="55"/>
        <v>25</v>
      </c>
      <c r="CV32" s="167">
        <v>33.799999999999997</v>
      </c>
      <c r="CW32" s="171">
        <f t="shared" si="56"/>
        <v>4</v>
      </c>
      <c r="CX32" s="167">
        <f>CV32-8.1</f>
        <v>25.699999999999996</v>
      </c>
      <c r="CY32" s="171">
        <f t="shared" si="57"/>
        <v>12</v>
      </c>
      <c r="CZ32" s="167">
        <f t="shared" si="0"/>
        <v>15.4</v>
      </c>
      <c r="DA32" s="168">
        <f t="shared" si="58"/>
        <v>19</v>
      </c>
      <c r="DB32" s="167">
        <f t="shared" si="59"/>
        <v>16.399999999999999</v>
      </c>
      <c r="DC32" s="169">
        <f t="shared" si="1"/>
        <v>21</v>
      </c>
      <c r="DD32" s="173">
        <v>103.529</v>
      </c>
      <c r="DE32" s="171">
        <f t="shared" si="60"/>
        <v>17</v>
      </c>
      <c r="DF32" s="167">
        <v>3.18</v>
      </c>
      <c r="DG32" s="171">
        <f t="shared" si="61"/>
        <v>19</v>
      </c>
      <c r="DH32" s="174">
        <v>6.4999999999999997E-3</v>
      </c>
      <c r="DI32" s="171">
        <f t="shared" si="62"/>
        <v>18</v>
      </c>
      <c r="DJ32" s="175">
        <v>0.317</v>
      </c>
      <c r="DK32" s="171">
        <f t="shared" si="63"/>
        <v>4</v>
      </c>
      <c r="DL32" s="167">
        <v>29.9</v>
      </c>
      <c r="DM32" s="171">
        <f t="shared" si="64"/>
        <v>13</v>
      </c>
      <c r="DN32" s="167">
        <v>0</v>
      </c>
      <c r="DO32" s="171">
        <f t="shared" si="65"/>
        <v>15</v>
      </c>
      <c r="DP32" s="167">
        <v>63</v>
      </c>
      <c r="DQ32" s="171">
        <f t="shared" si="66"/>
        <v>18</v>
      </c>
      <c r="DR32" s="167">
        <v>73.400000000000006</v>
      </c>
      <c r="DS32" s="171">
        <f t="shared" si="67"/>
        <v>21</v>
      </c>
      <c r="DT32" s="167">
        <v>4.1000000000000002E-2</v>
      </c>
      <c r="DU32" s="171">
        <f t="shared" si="68"/>
        <v>16</v>
      </c>
      <c r="DV32" s="167">
        <f>AVERAGE(DU32,DS32,DQ32,DM32,DK32,DI32,DG32,DE32)</f>
        <v>15.75</v>
      </c>
      <c r="DW32" s="169">
        <f t="shared" si="70"/>
        <v>18</v>
      </c>
      <c r="DX32" s="176"/>
      <c r="DY32" s="173">
        <v>9.3840000000000007E-2</v>
      </c>
      <c r="DZ32" s="171">
        <f t="shared" si="71"/>
        <v>14</v>
      </c>
      <c r="EA32" s="167">
        <v>2.9</v>
      </c>
      <c r="EB32" s="171">
        <f t="shared" si="72"/>
        <v>10</v>
      </c>
      <c r="EC32" s="167">
        <v>0</v>
      </c>
      <c r="ED32" s="171">
        <f t="shared" si="73"/>
        <v>9</v>
      </c>
      <c r="EE32" s="167">
        <v>0.01</v>
      </c>
      <c r="EF32" s="171">
        <f t="shared" si="74"/>
        <v>9</v>
      </c>
      <c r="EG32" s="167">
        <v>1.4E-2</v>
      </c>
      <c r="EH32" s="171">
        <f t="shared" si="75"/>
        <v>12</v>
      </c>
      <c r="EI32" s="167">
        <v>3.1459999999999999</v>
      </c>
      <c r="EJ32" s="171">
        <f t="shared" si="76"/>
        <v>5</v>
      </c>
      <c r="EK32" s="167">
        <v>0.03</v>
      </c>
      <c r="EL32" s="171">
        <f t="shared" si="77"/>
        <v>7</v>
      </c>
      <c r="EM32" s="167">
        <v>0.21</v>
      </c>
      <c r="EN32" s="171">
        <f t="shared" si="78"/>
        <v>4</v>
      </c>
      <c r="EO32" s="167">
        <v>3.6999999999999998E-2</v>
      </c>
      <c r="EP32" s="171">
        <f t="shared" si="79"/>
        <v>3</v>
      </c>
      <c r="EQ32" s="167">
        <v>0.154</v>
      </c>
      <c r="ER32" s="171">
        <f t="shared" si="80"/>
        <v>4</v>
      </c>
      <c r="ES32" s="167">
        <v>78.607313818343613</v>
      </c>
      <c r="ET32" s="171">
        <f t="shared" si="91"/>
        <v>1</v>
      </c>
      <c r="EU32" s="167">
        <v>402.60398426142297</v>
      </c>
      <c r="EV32" s="171">
        <f t="shared" si="92"/>
        <v>1</v>
      </c>
      <c r="EW32" s="167">
        <f t="shared" si="90"/>
        <v>0.17484000000000002</v>
      </c>
      <c r="EX32" s="165">
        <f t="shared" si="81"/>
        <v>13</v>
      </c>
      <c r="EY32" s="167">
        <f t="shared" si="82"/>
        <v>6.419999999999999</v>
      </c>
      <c r="EZ32" s="165">
        <f t="shared" si="83"/>
        <v>10</v>
      </c>
      <c r="FA32" s="167">
        <f t="shared" si="84"/>
        <v>7</v>
      </c>
      <c r="FB32" s="168">
        <f t="shared" si="85"/>
        <v>11</v>
      </c>
      <c r="FC32" s="167">
        <f t="shared" si="86"/>
        <v>5.5</v>
      </c>
      <c r="FD32" s="169">
        <f t="shared" si="87"/>
        <v>8</v>
      </c>
      <c r="FE32" s="167">
        <f t="shared" si="2"/>
        <v>2.7600000000000002</v>
      </c>
      <c r="FF32" s="168">
        <f t="shared" si="88"/>
        <v>13</v>
      </c>
      <c r="FG32" s="167">
        <f t="shared" si="3"/>
        <v>3.07</v>
      </c>
      <c r="FH32" s="177">
        <f t="shared" si="89"/>
        <v>19</v>
      </c>
      <c r="FI32"/>
      <c r="FJ32" s="109"/>
    </row>
    <row r="33" spans="2:166">
      <c r="B33" s="675"/>
      <c r="C33" s="262" t="s">
        <v>10</v>
      </c>
      <c r="D33" s="164">
        <v>10</v>
      </c>
      <c r="E33" s="165">
        <f t="shared" si="4"/>
        <v>2</v>
      </c>
      <c r="F33" s="166">
        <v>0</v>
      </c>
      <c r="G33" s="165">
        <f t="shared" si="5"/>
        <v>1</v>
      </c>
      <c r="H33" s="166">
        <v>0</v>
      </c>
      <c r="I33" s="165">
        <f t="shared" si="6"/>
        <v>1</v>
      </c>
      <c r="J33" s="166">
        <v>0</v>
      </c>
      <c r="K33" s="165">
        <f t="shared" si="7"/>
        <v>1</v>
      </c>
      <c r="L33" s="166">
        <v>5.9249999999999998</v>
      </c>
      <c r="M33" s="165">
        <f t="shared" si="8"/>
        <v>2</v>
      </c>
      <c r="N33" s="166">
        <v>0</v>
      </c>
      <c r="O33" s="165">
        <f t="shared" si="9"/>
        <v>1</v>
      </c>
      <c r="P33" s="166">
        <v>0</v>
      </c>
      <c r="Q33" s="165">
        <f t="shared" si="10"/>
        <v>1</v>
      </c>
      <c r="R33" s="166">
        <v>0</v>
      </c>
      <c r="S33" s="165">
        <f t="shared" si="11"/>
        <v>1</v>
      </c>
      <c r="T33" s="166">
        <v>0</v>
      </c>
      <c r="U33" s="165">
        <f t="shared" si="12"/>
        <v>1</v>
      </c>
      <c r="V33" s="166">
        <v>0</v>
      </c>
      <c r="W33" s="165">
        <f t="shared" si="13"/>
        <v>1</v>
      </c>
      <c r="X33" s="166">
        <v>21000</v>
      </c>
      <c r="Y33" s="165">
        <f t="shared" si="14"/>
        <v>5</v>
      </c>
      <c r="Z33" s="166">
        <v>80</v>
      </c>
      <c r="AA33" s="165">
        <f t="shared" si="15"/>
        <v>4</v>
      </c>
      <c r="AB33" s="166">
        <v>0</v>
      </c>
      <c r="AC33" s="165">
        <f t="shared" si="16"/>
        <v>1</v>
      </c>
      <c r="AD33" s="166">
        <v>252.75</v>
      </c>
      <c r="AE33" s="165">
        <f t="shared" si="17"/>
        <v>5</v>
      </c>
      <c r="AF33" s="166">
        <v>50</v>
      </c>
      <c r="AG33" s="165">
        <f t="shared" si="18"/>
        <v>2</v>
      </c>
      <c r="AH33" s="166">
        <v>0</v>
      </c>
      <c r="AI33" s="165">
        <f t="shared" si="19"/>
        <v>1</v>
      </c>
      <c r="AJ33" s="166">
        <v>0</v>
      </c>
      <c r="AK33" s="165">
        <f t="shared" si="20"/>
        <v>1</v>
      </c>
      <c r="AL33" s="166">
        <v>0</v>
      </c>
      <c r="AM33" s="165">
        <f t="shared" si="21"/>
        <v>1</v>
      </c>
      <c r="AN33" s="166">
        <v>0</v>
      </c>
      <c r="AO33" s="165">
        <f t="shared" si="22"/>
        <v>1</v>
      </c>
      <c r="AP33" s="166">
        <v>0</v>
      </c>
      <c r="AQ33" s="165">
        <f t="shared" si="23"/>
        <v>1</v>
      </c>
      <c r="AR33" s="166">
        <v>0</v>
      </c>
      <c r="AS33" s="165">
        <f t="shared" si="24"/>
        <v>1</v>
      </c>
      <c r="AT33" s="166">
        <v>0</v>
      </c>
      <c r="AU33" s="165">
        <f t="shared" si="25"/>
        <v>1</v>
      </c>
      <c r="AV33" s="166">
        <v>191.5</v>
      </c>
      <c r="AW33" s="165">
        <f t="shared" si="26"/>
        <v>2</v>
      </c>
      <c r="AX33" s="166">
        <v>170</v>
      </c>
      <c r="AY33" s="165">
        <f t="shared" si="27"/>
        <v>2</v>
      </c>
      <c r="AZ33" s="166">
        <v>304</v>
      </c>
      <c r="BA33" s="165">
        <f t="shared" si="28"/>
        <v>2</v>
      </c>
      <c r="BB33" s="216">
        <f t="shared" si="29"/>
        <v>0.96</v>
      </c>
      <c r="BC33" s="168">
        <f t="shared" si="30"/>
        <v>7</v>
      </c>
      <c r="BD33" s="216">
        <f t="shared" si="31"/>
        <v>0.72000000000000008</v>
      </c>
      <c r="BE33" s="169">
        <f t="shared" si="32"/>
        <v>4</v>
      </c>
      <c r="BF33" s="170">
        <v>0</v>
      </c>
      <c r="BG33" s="171">
        <f t="shared" si="33"/>
        <v>1</v>
      </c>
      <c r="BH33" s="172">
        <v>0</v>
      </c>
      <c r="BI33" s="171">
        <f t="shared" si="34"/>
        <v>1</v>
      </c>
      <c r="BJ33" s="172">
        <v>0</v>
      </c>
      <c r="BK33" s="171">
        <f t="shared" si="35"/>
        <v>1</v>
      </c>
      <c r="BL33" s="172">
        <v>0</v>
      </c>
      <c r="BM33" s="171">
        <f t="shared" si="36"/>
        <v>1</v>
      </c>
      <c r="BN33" s="172">
        <v>0</v>
      </c>
      <c r="BO33" s="171">
        <f t="shared" si="37"/>
        <v>1</v>
      </c>
      <c r="BP33" s="172">
        <v>0</v>
      </c>
      <c r="BQ33" s="171">
        <f t="shared" si="38"/>
        <v>1</v>
      </c>
      <c r="BR33" s="172">
        <v>0</v>
      </c>
      <c r="BS33" s="171">
        <f t="shared" si="39"/>
        <v>1</v>
      </c>
      <c r="BT33" s="172">
        <v>0</v>
      </c>
      <c r="BU33" s="171">
        <f t="shared" si="40"/>
        <v>1</v>
      </c>
      <c r="BV33" s="172">
        <v>0</v>
      </c>
      <c r="BW33" s="171">
        <f t="shared" si="41"/>
        <v>1</v>
      </c>
      <c r="BX33" s="172">
        <v>0</v>
      </c>
      <c r="BY33" s="171">
        <f t="shared" si="42"/>
        <v>1</v>
      </c>
      <c r="BZ33" s="167">
        <v>0</v>
      </c>
      <c r="CA33" s="171">
        <f t="shared" si="43"/>
        <v>1</v>
      </c>
      <c r="CB33" s="167">
        <v>0</v>
      </c>
      <c r="CC33" s="171">
        <f t="shared" si="44"/>
        <v>1</v>
      </c>
      <c r="CD33" s="167">
        <f t="shared" si="45"/>
        <v>1</v>
      </c>
      <c r="CE33" s="168">
        <f t="shared" si="46"/>
        <v>13</v>
      </c>
      <c r="CF33" s="167">
        <f t="shared" si="47"/>
        <v>1</v>
      </c>
      <c r="CG33" s="169">
        <f t="shared" si="48"/>
        <v>18</v>
      </c>
      <c r="CH33" s="167">
        <v>2.87</v>
      </c>
      <c r="CI33" s="171">
        <f t="shared" si="49"/>
        <v>20</v>
      </c>
      <c r="CJ33" s="167">
        <v>3.12</v>
      </c>
      <c r="CK33" s="171">
        <f t="shared" si="50"/>
        <v>20</v>
      </c>
      <c r="CL33" s="167">
        <v>7</v>
      </c>
      <c r="CM33" s="171">
        <f t="shared" si="51"/>
        <v>8</v>
      </c>
      <c r="CN33" s="167">
        <v>711</v>
      </c>
      <c r="CO33" s="171">
        <f t="shared" si="52"/>
        <v>25</v>
      </c>
      <c r="CP33" s="167">
        <v>603</v>
      </c>
      <c r="CQ33" s="171">
        <f t="shared" si="53"/>
        <v>24</v>
      </c>
      <c r="CR33" s="167">
        <v>29</v>
      </c>
      <c r="CS33" s="171">
        <f t="shared" si="54"/>
        <v>23</v>
      </c>
      <c r="CT33" s="167">
        <f>CR33+4.2</f>
        <v>33.200000000000003</v>
      </c>
      <c r="CU33" s="171">
        <f t="shared" si="55"/>
        <v>23</v>
      </c>
      <c r="CV33" s="167">
        <v>20.3</v>
      </c>
      <c r="CW33" s="171">
        <f t="shared" si="56"/>
        <v>23</v>
      </c>
      <c r="CX33" s="167">
        <v>17.3</v>
      </c>
      <c r="CY33" s="171">
        <f t="shared" si="57"/>
        <v>21</v>
      </c>
      <c r="CZ33" s="167">
        <f t="shared" si="0"/>
        <v>19.8</v>
      </c>
      <c r="DA33" s="168">
        <f t="shared" si="58"/>
        <v>25</v>
      </c>
      <c r="DB33" s="167">
        <f t="shared" si="59"/>
        <v>19.2</v>
      </c>
      <c r="DC33" s="169">
        <f t="shared" si="1"/>
        <v>24</v>
      </c>
      <c r="DD33" s="173">
        <v>76.647999999999996</v>
      </c>
      <c r="DE33" s="171">
        <f t="shared" si="60"/>
        <v>7</v>
      </c>
      <c r="DF33" s="167">
        <v>3.15</v>
      </c>
      <c r="DG33" s="171">
        <f t="shared" si="61"/>
        <v>20</v>
      </c>
      <c r="DH33" s="174">
        <v>2.3E-3</v>
      </c>
      <c r="DI33" s="171">
        <f t="shared" si="62"/>
        <v>24</v>
      </c>
      <c r="DJ33" s="175">
        <v>0.194187</v>
      </c>
      <c r="DK33" s="171">
        <f t="shared" si="63"/>
        <v>20</v>
      </c>
      <c r="DL33" s="167">
        <v>4.5999999999999996</v>
      </c>
      <c r="DM33" s="171">
        <f t="shared" si="64"/>
        <v>24</v>
      </c>
      <c r="DN33" s="167">
        <v>73.09</v>
      </c>
      <c r="DO33" s="171">
        <f t="shared" si="65"/>
        <v>5</v>
      </c>
      <c r="DP33" s="167">
        <v>73</v>
      </c>
      <c r="DQ33" s="171">
        <f t="shared" si="66"/>
        <v>20</v>
      </c>
      <c r="DR33" s="167">
        <v>80.8</v>
      </c>
      <c r="DS33" s="171">
        <f t="shared" si="67"/>
        <v>15</v>
      </c>
      <c r="DT33" s="167">
        <v>0.16400000000000001</v>
      </c>
      <c r="DU33" s="171">
        <f t="shared" si="68"/>
        <v>23</v>
      </c>
      <c r="DV33" s="167">
        <f t="shared" si="69"/>
        <v>17.555555555555557</v>
      </c>
      <c r="DW33" s="169">
        <f t="shared" si="70"/>
        <v>21</v>
      </c>
      <c r="DX33" s="176"/>
      <c r="DY33" s="173">
        <v>0</v>
      </c>
      <c r="DZ33" s="171">
        <f t="shared" si="71"/>
        <v>22</v>
      </c>
      <c r="EA33" s="167">
        <v>0.11</v>
      </c>
      <c r="EB33" s="171">
        <f t="shared" si="72"/>
        <v>16</v>
      </c>
      <c r="EC33" s="167">
        <v>0</v>
      </c>
      <c r="ED33" s="171">
        <f t="shared" si="73"/>
        <v>9</v>
      </c>
      <c r="EE33" s="167">
        <v>0</v>
      </c>
      <c r="EF33" s="171">
        <f t="shared" si="74"/>
        <v>10</v>
      </c>
      <c r="EG33" s="167">
        <v>0.03</v>
      </c>
      <c r="EH33" s="171">
        <f t="shared" si="75"/>
        <v>10</v>
      </c>
      <c r="EI33" s="167">
        <v>1.282</v>
      </c>
      <c r="EJ33" s="171">
        <f t="shared" si="76"/>
        <v>9</v>
      </c>
      <c r="EK33" s="167">
        <v>0</v>
      </c>
      <c r="EL33" s="171">
        <f t="shared" si="77"/>
        <v>14</v>
      </c>
      <c r="EM33" s="167">
        <v>0</v>
      </c>
      <c r="EN33" s="171">
        <f t="shared" si="78"/>
        <v>16</v>
      </c>
      <c r="EO33" s="167">
        <v>4.0000000000000003E-5</v>
      </c>
      <c r="EP33" s="171">
        <f t="shared" si="79"/>
        <v>8</v>
      </c>
      <c r="EQ33" s="167">
        <v>0.52</v>
      </c>
      <c r="ER33" s="171">
        <f t="shared" si="80"/>
        <v>3</v>
      </c>
      <c r="ES33" s="167">
        <v>78.607313818343613</v>
      </c>
      <c r="ET33" s="171">
        <f t="shared" si="91"/>
        <v>1</v>
      </c>
      <c r="EU33" s="167">
        <v>402.60398426142297</v>
      </c>
      <c r="EV33" s="171">
        <f t="shared" si="92"/>
        <v>1</v>
      </c>
      <c r="EW33" s="167">
        <f t="shared" si="90"/>
        <v>3.0039999999999997E-2</v>
      </c>
      <c r="EX33" s="165">
        <f t="shared" si="81"/>
        <v>18</v>
      </c>
      <c r="EY33" s="167">
        <f t="shared" si="82"/>
        <v>1.9120000000000001</v>
      </c>
      <c r="EZ33" s="165">
        <f t="shared" si="83"/>
        <v>13</v>
      </c>
      <c r="FA33" s="167">
        <f t="shared" si="84"/>
        <v>9.5</v>
      </c>
      <c r="FB33" s="168">
        <f t="shared" si="85"/>
        <v>15</v>
      </c>
      <c r="FC33" s="167">
        <f t="shared" si="86"/>
        <v>7</v>
      </c>
      <c r="FD33" s="169">
        <f t="shared" si="87"/>
        <v>13</v>
      </c>
      <c r="FE33" s="167">
        <f t="shared" si="2"/>
        <v>3.1799999999999997</v>
      </c>
      <c r="FF33" s="168">
        <f t="shared" si="88"/>
        <v>21</v>
      </c>
      <c r="FG33" s="167">
        <f t="shared" si="3"/>
        <v>3.06</v>
      </c>
      <c r="FH33" s="177">
        <f t="shared" si="89"/>
        <v>17</v>
      </c>
      <c r="FI33"/>
    </row>
    <row r="34" spans="2:166">
      <c r="B34" s="675"/>
      <c r="C34" s="262" t="s">
        <v>82</v>
      </c>
      <c r="D34" s="164">
        <v>260</v>
      </c>
      <c r="E34" s="165">
        <f t="shared" si="4"/>
        <v>3</v>
      </c>
      <c r="F34" s="166">
        <v>5</v>
      </c>
      <c r="G34" s="165">
        <f t="shared" si="5"/>
        <v>2</v>
      </c>
      <c r="H34" s="166">
        <v>0</v>
      </c>
      <c r="I34" s="165">
        <f t="shared" si="6"/>
        <v>1</v>
      </c>
      <c r="J34" s="166">
        <v>5</v>
      </c>
      <c r="K34" s="165">
        <f t="shared" si="7"/>
        <v>2</v>
      </c>
      <c r="L34" s="166">
        <v>0</v>
      </c>
      <c r="M34" s="165">
        <f t="shared" si="8"/>
        <v>1</v>
      </c>
      <c r="N34" s="166">
        <v>0</v>
      </c>
      <c r="O34" s="165">
        <f t="shared" si="9"/>
        <v>1</v>
      </c>
      <c r="P34" s="166">
        <v>0</v>
      </c>
      <c r="Q34" s="165">
        <f t="shared" si="10"/>
        <v>1</v>
      </c>
      <c r="R34" s="166">
        <v>0</v>
      </c>
      <c r="S34" s="165">
        <f t="shared" si="11"/>
        <v>1</v>
      </c>
      <c r="T34" s="166">
        <v>0</v>
      </c>
      <c r="U34" s="165">
        <f t="shared" si="12"/>
        <v>1</v>
      </c>
      <c r="V34" s="166">
        <v>0</v>
      </c>
      <c r="W34" s="165">
        <f t="shared" si="13"/>
        <v>1</v>
      </c>
      <c r="X34" s="166">
        <v>4800</v>
      </c>
      <c r="Y34" s="165">
        <f t="shared" si="14"/>
        <v>3</v>
      </c>
      <c r="Z34" s="166">
        <v>45.245901639344268</v>
      </c>
      <c r="AA34" s="165">
        <f t="shared" si="15"/>
        <v>3</v>
      </c>
      <c r="AB34" s="166">
        <v>0</v>
      </c>
      <c r="AC34" s="165">
        <f t="shared" si="16"/>
        <v>1</v>
      </c>
      <c r="AD34" s="166">
        <v>60</v>
      </c>
      <c r="AE34" s="165">
        <f t="shared" si="17"/>
        <v>3</v>
      </c>
      <c r="AF34" s="166">
        <v>0</v>
      </c>
      <c r="AG34" s="165">
        <f t="shared" si="18"/>
        <v>1</v>
      </c>
      <c r="AH34" s="166">
        <v>0</v>
      </c>
      <c r="AI34" s="165">
        <f t="shared" si="19"/>
        <v>1</v>
      </c>
      <c r="AJ34" s="166">
        <v>0</v>
      </c>
      <c r="AK34" s="165">
        <f t="shared" si="20"/>
        <v>1</v>
      </c>
      <c r="AL34" s="166">
        <v>0</v>
      </c>
      <c r="AM34" s="165">
        <f t="shared" si="21"/>
        <v>1</v>
      </c>
      <c r="AN34" s="166">
        <v>0</v>
      </c>
      <c r="AO34" s="165">
        <f t="shared" si="22"/>
        <v>1</v>
      </c>
      <c r="AP34" s="166">
        <v>0</v>
      </c>
      <c r="AQ34" s="165">
        <f t="shared" si="23"/>
        <v>1</v>
      </c>
      <c r="AR34" s="166">
        <v>0</v>
      </c>
      <c r="AS34" s="165">
        <f t="shared" si="24"/>
        <v>1</v>
      </c>
      <c r="AT34" s="166">
        <v>0</v>
      </c>
      <c r="AU34" s="165">
        <f t="shared" si="25"/>
        <v>1</v>
      </c>
      <c r="AV34" s="166">
        <v>0</v>
      </c>
      <c r="AW34" s="165">
        <f t="shared" si="26"/>
        <v>1</v>
      </c>
      <c r="AX34" s="166">
        <v>0</v>
      </c>
      <c r="AY34" s="165">
        <f t="shared" si="27"/>
        <v>1</v>
      </c>
      <c r="AZ34" s="166">
        <v>0</v>
      </c>
      <c r="BA34" s="165">
        <f t="shared" si="28"/>
        <v>1</v>
      </c>
      <c r="BB34" s="216">
        <f t="shared" si="29"/>
        <v>0.88000000000000012</v>
      </c>
      <c r="BC34" s="168">
        <f t="shared" si="30"/>
        <v>9</v>
      </c>
      <c r="BD34" s="216">
        <f t="shared" si="31"/>
        <v>0.52</v>
      </c>
      <c r="BE34" s="169">
        <f t="shared" si="32"/>
        <v>13</v>
      </c>
      <c r="BF34" s="170">
        <v>0</v>
      </c>
      <c r="BG34" s="171">
        <f t="shared" si="33"/>
        <v>1</v>
      </c>
      <c r="BH34" s="172">
        <v>0</v>
      </c>
      <c r="BI34" s="171">
        <f t="shared" si="34"/>
        <v>1</v>
      </c>
      <c r="BJ34" s="172">
        <v>0</v>
      </c>
      <c r="BK34" s="171">
        <f t="shared" si="35"/>
        <v>1</v>
      </c>
      <c r="BL34" s="172">
        <v>0</v>
      </c>
      <c r="BM34" s="171">
        <f t="shared" si="36"/>
        <v>1</v>
      </c>
      <c r="BN34" s="172">
        <v>0</v>
      </c>
      <c r="BO34" s="171">
        <f t="shared" si="37"/>
        <v>1</v>
      </c>
      <c r="BP34" s="172">
        <v>0</v>
      </c>
      <c r="BQ34" s="171">
        <f t="shared" si="38"/>
        <v>1</v>
      </c>
      <c r="BR34" s="172">
        <v>0</v>
      </c>
      <c r="BS34" s="171">
        <f t="shared" si="39"/>
        <v>1</v>
      </c>
      <c r="BT34" s="172">
        <v>0</v>
      </c>
      <c r="BU34" s="171">
        <f t="shared" si="40"/>
        <v>1</v>
      </c>
      <c r="BV34" s="172">
        <v>0</v>
      </c>
      <c r="BW34" s="171">
        <f t="shared" si="41"/>
        <v>1</v>
      </c>
      <c r="BX34" s="172">
        <v>0</v>
      </c>
      <c r="BY34" s="171">
        <f t="shared" si="42"/>
        <v>1</v>
      </c>
      <c r="BZ34" s="167">
        <v>0</v>
      </c>
      <c r="CA34" s="171">
        <f t="shared" si="43"/>
        <v>1</v>
      </c>
      <c r="CB34" s="167">
        <v>0</v>
      </c>
      <c r="CC34" s="171">
        <f t="shared" si="44"/>
        <v>1</v>
      </c>
      <c r="CD34" s="167">
        <f t="shared" si="45"/>
        <v>1</v>
      </c>
      <c r="CE34" s="168">
        <f t="shared" si="46"/>
        <v>13</v>
      </c>
      <c r="CF34" s="167">
        <f t="shared" si="47"/>
        <v>1</v>
      </c>
      <c r="CG34" s="169">
        <f t="shared" si="48"/>
        <v>18</v>
      </c>
      <c r="CH34" s="167">
        <v>2.4700000000000002</v>
      </c>
      <c r="CI34" s="171">
        <f t="shared" si="49"/>
        <v>15</v>
      </c>
      <c r="CJ34" s="167">
        <v>2.71</v>
      </c>
      <c r="CK34" s="171">
        <f t="shared" si="50"/>
        <v>17</v>
      </c>
      <c r="CL34" s="167">
        <v>1</v>
      </c>
      <c r="CM34" s="171">
        <f t="shared" si="51"/>
        <v>24</v>
      </c>
      <c r="CN34" s="167">
        <v>677</v>
      </c>
      <c r="CO34" s="171">
        <f t="shared" si="52"/>
        <v>22</v>
      </c>
      <c r="CP34" s="167">
        <v>643</v>
      </c>
      <c r="CQ34" s="171">
        <f t="shared" si="53"/>
        <v>25</v>
      </c>
      <c r="CR34" s="167">
        <v>34.1</v>
      </c>
      <c r="CS34" s="171">
        <f t="shared" si="54"/>
        <v>22</v>
      </c>
      <c r="CT34" s="167">
        <f>CR34+4.9</f>
        <v>39</v>
      </c>
      <c r="CU34" s="171">
        <f t="shared" si="55"/>
        <v>22</v>
      </c>
      <c r="CV34" s="167">
        <v>31.9</v>
      </c>
      <c r="CW34" s="171">
        <f t="shared" si="56"/>
        <v>7</v>
      </c>
      <c r="CX34" s="167">
        <v>24.5</v>
      </c>
      <c r="CY34" s="171">
        <f t="shared" si="57"/>
        <v>15</v>
      </c>
      <c r="CZ34" s="167">
        <f t="shared" si="0"/>
        <v>18</v>
      </c>
      <c r="DA34" s="168">
        <f t="shared" si="58"/>
        <v>24</v>
      </c>
      <c r="DB34" s="167">
        <f t="shared" si="59"/>
        <v>20.6</v>
      </c>
      <c r="DC34" s="169">
        <f t="shared" si="1"/>
        <v>25</v>
      </c>
      <c r="DD34" s="173">
        <v>124.842</v>
      </c>
      <c r="DE34" s="171">
        <f t="shared" si="60"/>
        <v>21</v>
      </c>
      <c r="DF34" s="167">
        <v>2.9</v>
      </c>
      <c r="DG34" s="171">
        <f t="shared" si="61"/>
        <v>23</v>
      </c>
      <c r="DH34" s="174">
        <v>1.6000000000000001E-3</v>
      </c>
      <c r="DI34" s="171">
        <f t="shared" si="62"/>
        <v>25</v>
      </c>
      <c r="DJ34" s="175">
        <v>0.28699999999999998</v>
      </c>
      <c r="DK34" s="171">
        <f t="shared" si="63"/>
        <v>6</v>
      </c>
      <c r="DL34" s="167">
        <v>11.5</v>
      </c>
      <c r="DM34" s="171">
        <f t="shared" si="64"/>
        <v>21</v>
      </c>
      <c r="DN34" s="167">
        <v>64.290000000000006</v>
      </c>
      <c r="DO34" s="171">
        <f t="shared" si="65"/>
        <v>11</v>
      </c>
      <c r="DP34" s="167">
        <v>95</v>
      </c>
      <c r="DQ34" s="171">
        <f t="shared" si="66"/>
        <v>22</v>
      </c>
      <c r="DR34" s="167">
        <v>81.599999999999994</v>
      </c>
      <c r="DS34" s="171">
        <f t="shared" si="67"/>
        <v>13</v>
      </c>
      <c r="DT34" s="167">
        <v>0.16400000000000001</v>
      </c>
      <c r="DU34" s="171">
        <f t="shared" si="68"/>
        <v>23</v>
      </c>
      <c r="DV34" s="167">
        <f t="shared" si="69"/>
        <v>18.333333333333332</v>
      </c>
      <c r="DW34" s="169">
        <f t="shared" si="70"/>
        <v>23</v>
      </c>
      <c r="DX34" s="176"/>
      <c r="DY34" s="173">
        <v>0</v>
      </c>
      <c r="DZ34" s="171">
        <f t="shared" si="71"/>
        <v>22</v>
      </c>
      <c r="EA34" s="167">
        <v>0</v>
      </c>
      <c r="EB34" s="171">
        <f t="shared" si="72"/>
        <v>22</v>
      </c>
      <c r="EC34" s="167">
        <v>0</v>
      </c>
      <c r="ED34" s="171">
        <f t="shared" si="73"/>
        <v>9</v>
      </c>
      <c r="EE34" s="167">
        <v>0</v>
      </c>
      <c r="EF34" s="171">
        <f t="shared" si="74"/>
        <v>10</v>
      </c>
      <c r="EG34" s="167">
        <v>0</v>
      </c>
      <c r="EH34" s="171">
        <f t="shared" si="75"/>
        <v>16</v>
      </c>
      <c r="EI34" s="167">
        <v>1.6120000000000001</v>
      </c>
      <c r="EJ34" s="171">
        <f t="shared" si="76"/>
        <v>8</v>
      </c>
      <c r="EK34" s="167">
        <v>0</v>
      </c>
      <c r="EL34" s="171">
        <f t="shared" si="77"/>
        <v>14</v>
      </c>
      <c r="EM34" s="167">
        <v>0</v>
      </c>
      <c r="EN34" s="171">
        <f t="shared" si="78"/>
        <v>16</v>
      </c>
      <c r="EO34" s="167">
        <v>0</v>
      </c>
      <c r="EP34" s="171">
        <f t="shared" si="79"/>
        <v>9</v>
      </c>
      <c r="EQ34" s="167">
        <v>5.7000000000000002E-2</v>
      </c>
      <c r="ER34" s="171">
        <f t="shared" si="80"/>
        <v>6</v>
      </c>
      <c r="ES34" s="167">
        <v>78.607313818343613</v>
      </c>
      <c r="ET34" s="171">
        <f t="shared" si="91"/>
        <v>1</v>
      </c>
      <c r="EU34" s="167">
        <v>402.60398426142297</v>
      </c>
      <c r="EV34" s="171">
        <f t="shared" si="92"/>
        <v>1</v>
      </c>
      <c r="EW34" s="167">
        <f t="shared" si="90"/>
        <v>0</v>
      </c>
      <c r="EX34" s="165">
        <f t="shared" si="81"/>
        <v>24</v>
      </c>
      <c r="EY34" s="167">
        <f t="shared" si="82"/>
        <v>1.669</v>
      </c>
      <c r="EZ34" s="165">
        <f t="shared" si="83"/>
        <v>14</v>
      </c>
      <c r="FA34" s="167">
        <f t="shared" si="84"/>
        <v>12.5</v>
      </c>
      <c r="FB34" s="168">
        <f t="shared" si="85"/>
        <v>20</v>
      </c>
      <c r="FC34" s="167">
        <f t="shared" si="86"/>
        <v>7.5</v>
      </c>
      <c r="FD34" s="169">
        <f t="shared" si="87"/>
        <v>14</v>
      </c>
      <c r="FE34" s="167">
        <f t="shared" si="2"/>
        <v>3.5200000000000005</v>
      </c>
      <c r="FF34" s="168">
        <f t="shared" si="88"/>
        <v>25</v>
      </c>
      <c r="FG34" s="167">
        <f t="shared" si="3"/>
        <v>3.6700000000000004</v>
      </c>
      <c r="FH34" s="177">
        <f t="shared" si="89"/>
        <v>24</v>
      </c>
      <c r="FI34"/>
    </row>
    <row r="35" spans="2:166">
      <c r="B35" s="675"/>
      <c r="C35" s="262" t="s">
        <v>57</v>
      </c>
      <c r="D35" s="164">
        <v>0</v>
      </c>
      <c r="E35" s="165">
        <f t="shared" si="4"/>
        <v>1</v>
      </c>
      <c r="F35" s="166">
        <v>0</v>
      </c>
      <c r="G35" s="165">
        <f t="shared" si="5"/>
        <v>1</v>
      </c>
      <c r="H35" s="166">
        <v>0</v>
      </c>
      <c r="I35" s="165">
        <f t="shared" si="6"/>
        <v>1</v>
      </c>
      <c r="J35" s="166">
        <v>0</v>
      </c>
      <c r="K35" s="165">
        <f t="shared" si="7"/>
        <v>1</v>
      </c>
      <c r="L35" s="166">
        <v>0</v>
      </c>
      <c r="M35" s="165">
        <f t="shared" si="8"/>
        <v>1</v>
      </c>
      <c r="N35" s="166">
        <v>0</v>
      </c>
      <c r="O35" s="165">
        <f t="shared" si="9"/>
        <v>1</v>
      </c>
      <c r="P35" s="166">
        <v>0</v>
      </c>
      <c r="Q35" s="165">
        <f t="shared" si="10"/>
        <v>1</v>
      </c>
      <c r="R35" s="166">
        <v>0</v>
      </c>
      <c r="S35" s="165">
        <f t="shared" si="11"/>
        <v>1</v>
      </c>
      <c r="T35" s="166">
        <v>0</v>
      </c>
      <c r="U35" s="165">
        <f t="shared" si="12"/>
        <v>1</v>
      </c>
      <c r="V35" s="166">
        <v>0</v>
      </c>
      <c r="W35" s="165">
        <f t="shared" si="13"/>
        <v>1</v>
      </c>
      <c r="X35" s="166">
        <v>0</v>
      </c>
      <c r="Y35" s="165">
        <f t="shared" si="14"/>
        <v>1</v>
      </c>
      <c r="Z35" s="166">
        <v>0</v>
      </c>
      <c r="AA35" s="165">
        <f t="shared" si="15"/>
        <v>1</v>
      </c>
      <c r="AB35" s="166">
        <v>0</v>
      </c>
      <c r="AC35" s="165">
        <f t="shared" si="16"/>
        <v>1</v>
      </c>
      <c r="AD35" s="166">
        <v>0</v>
      </c>
      <c r="AE35" s="165">
        <f t="shared" si="17"/>
        <v>1</v>
      </c>
      <c r="AF35" s="166">
        <v>0</v>
      </c>
      <c r="AG35" s="165">
        <f t="shared" si="18"/>
        <v>1</v>
      </c>
      <c r="AH35" s="166">
        <v>0</v>
      </c>
      <c r="AI35" s="165">
        <f t="shared" si="19"/>
        <v>1</v>
      </c>
      <c r="AJ35" s="166">
        <v>0</v>
      </c>
      <c r="AK35" s="165">
        <f t="shared" si="20"/>
        <v>1</v>
      </c>
      <c r="AL35" s="166">
        <v>0</v>
      </c>
      <c r="AM35" s="165">
        <f t="shared" si="21"/>
        <v>1</v>
      </c>
      <c r="AN35" s="166">
        <v>0</v>
      </c>
      <c r="AO35" s="165">
        <f t="shared" si="22"/>
        <v>1</v>
      </c>
      <c r="AP35" s="166">
        <v>0</v>
      </c>
      <c r="AQ35" s="165">
        <f t="shared" si="23"/>
        <v>1</v>
      </c>
      <c r="AR35" s="166">
        <v>0</v>
      </c>
      <c r="AS35" s="165">
        <f t="shared" si="24"/>
        <v>1</v>
      </c>
      <c r="AT35" s="166">
        <v>0</v>
      </c>
      <c r="AU35" s="165">
        <f t="shared" si="25"/>
        <v>1</v>
      </c>
      <c r="AV35" s="166">
        <v>0</v>
      </c>
      <c r="AW35" s="165">
        <f t="shared" si="26"/>
        <v>1</v>
      </c>
      <c r="AX35" s="166">
        <v>0</v>
      </c>
      <c r="AY35" s="165">
        <f t="shared" si="27"/>
        <v>1</v>
      </c>
      <c r="AZ35" s="166">
        <v>0</v>
      </c>
      <c r="BA35" s="165">
        <f t="shared" si="28"/>
        <v>1</v>
      </c>
      <c r="BB35" s="216">
        <f t="shared" si="29"/>
        <v>0.60000000000000009</v>
      </c>
      <c r="BC35" s="168">
        <f t="shared" si="30"/>
        <v>22</v>
      </c>
      <c r="BD35" s="216">
        <f t="shared" si="31"/>
        <v>0.4</v>
      </c>
      <c r="BE35" s="169">
        <f t="shared" si="32"/>
        <v>22</v>
      </c>
      <c r="BF35" s="170">
        <v>0</v>
      </c>
      <c r="BG35" s="171">
        <f t="shared" si="33"/>
        <v>1</v>
      </c>
      <c r="BH35" s="172">
        <v>0</v>
      </c>
      <c r="BI35" s="171">
        <f t="shared" si="34"/>
        <v>1</v>
      </c>
      <c r="BJ35" s="172">
        <v>0</v>
      </c>
      <c r="BK35" s="171">
        <f t="shared" si="35"/>
        <v>1</v>
      </c>
      <c r="BL35" s="172">
        <v>0</v>
      </c>
      <c r="BM35" s="171">
        <f t="shared" si="36"/>
        <v>1</v>
      </c>
      <c r="BN35" s="172">
        <v>0</v>
      </c>
      <c r="BO35" s="171">
        <f t="shared" si="37"/>
        <v>1</v>
      </c>
      <c r="BP35" s="172">
        <v>0</v>
      </c>
      <c r="BQ35" s="171">
        <f t="shared" si="38"/>
        <v>1</v>
      </c>
      <c r="BR35" s="172">
        <v>0</v>
      </c>
      <c r="BS35" s="171">
        <f t="shared" si="39"/>
        <v>1</v>
      </c>
      <c r="BT35" s="172">
        <v>0</v>
      </c>
      <c r="BU35" s="171">
        <f t="shared" si="40"/>
        <v>1</v>
      </c>
      <c r="BV35" s="172">
        <v>0</v>
      </c>
      <c r="BW35" s="171">
        <f t="shared" si="41"/>
        <v>1</v>
      </c>
      <c r="BX35" s="172">
        <v>0</v>
      </c>
      <c r="BY35" s="171">
        <f t="shared" si="42"/>
        <v>1</v>
      </c>
      <c r="BZ35" s="167">
        <v>2</v>
      </c>
      <c r="CA35" s="171">
        <f t="shared" si="43"/>
        <v>2</v>
      </c>
      <c r="CB35" s="167">
        <v>51</v>
      </c>
      <c r="CC35" s="171">
        <f t="shared" si="44"/>
        <v>3</v>
      </c>
      <c r="CD35" s="167">
        <f t="shared" si="45"/>
        <v>1.1666666666666667</v>
      </c>
      <c r="CE35" s="168">
        <f t="shared" si="46"/>
        <v>10</v>
      </c>
      <c r="CF35" s="167">
        <f t="shared" si="47"/>
        <v>1.3333333333333333</v>
      </c>
      <c r="CG35" s="169">
        <f t="shared" si="48"/>
        <v>8</v>
      </c>
      <c r="CH35" s="167">
        <v>1.65</v>
      </c>
      <c r="CI35" s="171">
        <f t="shared" si="49"/>
        <v>8</v>
      </c>
      <c r="CJ35" s="167">
        <v>1.77</v>
      </c>
      <c r="CK35" s="171">
        <f t="shared" si="50"/>
        <v>9</v>
      </c>
      <c r="CL35" s="167">
        <v>5</v>
      </c>
      <c r="CM35" s="171">
        <f t="shared" si="51"/>
        <v>16</v>
      </c>
      <c r="CN35" s="167">
        <v>482</v>
      </c>
      <c r="CO35" s="171">
        <f t="shared" si="52"/>
        <v>17</v>
      </c>
      <c r="CP35" s="167">
        <v>434</v>
      </c>
      <c r="CQ35" s="171">
        <f t="shared" si="53"/>
        <v>17</v>
      </c>
      <c r="CR35" s="167">
        <v>48.4</v>
      </c>
      <c r="CS35" s="171">
        <f t="shared" si="54"/>
        <v>17</v>
      </c>
      <c r="CT35" s="167">
        <f>CR35+4.9</f>
        <v>53.3</v>
      </c>
      <c r="CU35" s="171">
        <f t="shared" si="55"/>
        <v>17</v>
      </c>
      <c r="CV35" s="167">
        <v>24.3</v>
      </c>
      <c r="CW35" s="171">
        <f t="shared" si="56"/>
        <v>19</v>
      </c>
      <c r="CX35" s="167">
        <v>15.4</v>
      </c>
      <c r="CY35" s="171">
        <f t="shared" si="57"/>
        <v>23</v>
      </c>
      <c r="CZ35" s="167">
        <f t="shared" si="0"/>
        <v>15.4</v>
      </c>
      <c r="DA35" s="168">
        <f t="shared" si="58"/>
        <v>19</v>
      </c>
      <c r="DB35" s="167">
        <f t="shared" si="59"/>
        <v>16.399999999999999</v>
      </c>
      <c r="DC35" s="169">
        <f t="shared" si="1"/>
        <v>21</v>
      </c>
      <c r="DD35" s="173">
        <v>97.373000000000005</v>
      </c>
      <c r="DE35" s="171">
        <f t="shared" si="60"/>
        <v>15</v>
      </c>
      <c r="DF35" s="167">
        <v>3.41</v>
      </c>
      <c r="DG35" s="171">
        <f t="shared" si="61"/>
        <v>15</v>
      </c>
      <c r="DH35" s="174">
        <v>0.01</v>
      </c>
      <c r="DI35" s="171">
        <f t="shared" si="62"/>
        <v>16</v>
      </c>
      <c r="DJ35" s="175">
        <v>0.27900000000000003</v>
      </c>
      <c r="DK35" s="171">
        <f t="shared" si="63"/>
        <v>7</v>
      </c>
      <c r="DL35" s="167">
        <v>16.7</v>
      </c>
      <c r="DM35" s="171">
        <f t="shared" si="64"/>
        <v>18</v>
      </c>
      <c r="DN35" s="167">
        <v>0</v>
      </c>
      <c r="DO35" s="171">
        <f t="shared" si="65"/>
        <v>15</v>
      </c>
      <c r="DP35" s="167">
        <v>21</v>
      </c>
      <c r="DQ35" s="171">
        <f t="shared" si="66"/>
        <v>7</v>
      </c>
      <c r="DR35" s="167">
        <v>83</v>
      </c>
      <c r="DS35" s="171">
        <f t="shared" si="67"/>
        <v>12</v>
      </c>
      <c r="DT35" s="167">
        <v>7.2999999999999995E-2</v>
      </c>
      <c r="DU35" s="171">
        <f t="shared" si="68"/>
        <v>18</v>
      </c>
      <c r="DV35" s="167">
        <f>AVERAGE(DU35,DS35,DQ35,DM35,DK35,DI35,DG35,DE35)</f>
        <v>13.5</v>
      </c>
      <c r="DW35" s="169">
        <f t="shared" si="70"/>
        <v>15</v>
      </c>
      <c r="DX35" s="176"/>
      <c r="DY35" s="173">
        <v>0.01</v>
      </c>
      <c r="DZ35" s="171">
        <f t="shared" si="71"/>
        <v>20</v>
      </c>
      <c r="EA35" s="167">
        <v>1.52E-2</v>
      </c>
      <c r="EB35" s="171">
        <f t="shared" si="72"/>
        <v>21</v>
      </c>
      <c r="EC35" s="167">
        <v>0</v>
      </c>
      <c r="ED35" s="171">
        <f t="shared" si="73"/>
        <v>9</v>
      </c>
      <c r="EE35" s="167">
        <v>0</v>
      </c>
      <c r="EF35" s="171">
        <f t="shared" si="74"/>
        <v>10</v>
      </c>
      <c r="EG35" s="167">
        <v>0</v>
      </c>
      <c r="EH35" s="171">
        <f t="shared" si="75"/>
        <v>16</v>
      </c>
      <c r="EI35" s="167">
        <v>0.188</v>
      </c>
      <c r="EJ35" s="171">
        <f t="shared" si="76"/>
        <v>15</v>
      </c>
      <c r="EK35" s="167">
        <v>1.4999999999999999E-2</v>
      </c>
      <c r="EL35" s="171">
        <f t="shared" si="77"/>
        <v>10</v>
      </c>
      <c r="EM35" s="167">
        <v>1.4999999999999999E-2</v>
      </c>
      <c r="EN35" s="171">
        <f t="shared" si="78"/>
        <v>14</v>
      </c>
      <c r="EO35" s="167">
        <v>1E-3</v>
      </c>
      <c r="EP35" s="171">
        <f t="shared" si="79"/>
        <v>7</v>
      </c>
      <c r="EQ35" s="167">
        <v>7.0000000000000007E-2</v>
      </c>
      <c r="ER35" s="171">
        <f t="shared" si="80"/>
        <v>5</v>
      </c>
      <c r="ES35" s="167">
        <v>78.607313818343613</v>
      </c>
      <c r="ET35" s="171">
        <f t="shared" si="91"/>
        <v>1</v>
      </c>
      <c r="EU35" s="167">
        <v>402.60398426142297</v>
      </c>
      <c r="EV35" s="171">
        <f t="shared" si="92"/>
        <v>1</v>
      </c>
      <c r="EW35" s="167">
        <f t="shared" si="90"/>
        <v>2.6000000000000002E-2</v>
      </c>
      <c r="EX35" s="165">
        <f t="shared" si="81"/>
        <v>19</v>
      </c>
      <c r="EY35" s="167">
        <f t="shared" si="82"/>
        <v>0.28820000000000001</v>
      </c>
      <c r="EZ35" s="165">
        <f t="shared" si="83"/>
        <v>20</v>
      </c>
      <c r="FA35" s="167">
        <f t="shared" si="84"/>
        <v>10</v>
      </c>
      <c r="FB35" s="168">
        <f t="shared" si="85"/>
        <v>17</v>
      </c>
      <c r="FC35" s="167">
        <f t="shared" si="86"/>
        <v>10.5</v>
      </c>
      <c r="FD35" s="169">
        <f t="shared" si="87"/>
        <v>16</v>
      </c>
      <c r="FE35" s="167">
        <f t="shared" si="2"/>
        <v>3.4400000000000004</v>
      </c>
      <c r="FF35" s="168">
        <f t="shared" si="88"/>
        <v>24</v>
      </c>
      <c r="FG35" s="167">
        <f t="shared" si="3"/>
        <v>3.4200000000000004</v>
      </c>
      <c r="FH35" s="177">
        <f t="shared" si="89"/>
        <v>22</v>
      </c>
      <c r="FI35"/>
    </row>
    <row r="36" spans="2:166">
      <c r="B36" s="675"/>
      <c r="C36" s="262" t="s">
        <v>58</v>
      </c>
      <c r="D36" s="164">
        <v>0</v>
      </c>
      <c r="E36" s="165">
        <f t="shared" si="4"/>
        <v>1</v>
      </c>
      <c r="F36" s="166">
        <v>0</v>
      </c>
      <c r="G36" s="165">
        <f t="shared" si="5"/>
        <v>1</v>
      </c>
      <c r="H36" s="166">
        <v>0</v>
      </c>
      <c r="I36" s="165">
        <f t="shared" si="6"/>
        <v>1</v>
      </c>
      <c r="J36" s="166">
        <v>0</v>
      </c>
      <c r="K36" s="165">
        <f t="shared" si="7"/>
        <v>1</v>
      </c>
      <c r="L36" s="166">
        <v>0</v>
      </c>
      <c r="M36" s="165">
        <f t="shared" si="8"/>
        <v>1</v>
      </c>
      <c r="N36" s="166">
        <v>0</v>
      </c>
      <c r="O36" s="165">
        <f t="shared" si="9"/>
        <v>1</v>
      </c>
      <c r="P36" s="166">
        <v>0</v>
      </c>
      <c r="Q36" s="165">
        <f t="shared" si="10"/>
        <v>1</v>
      </c>
      <c r="R36" s="166">
        <v>0</v>
      </c>
      <c r="S36" s="165">
        <f t="shared" si="11"/>
        <v>1</v>
      </c>
      <c r="T36" s="166">
        <v>0</v>
      </c>
      <c r="U36" s="165">
        <f t="shared" si="12"/>
        <v>1</v>
      </c>
      <c r="V36" s="166">
        <v>0</v>
      </c>
      <c r="W36" s="165">
        <f t="shared" si="13"/>
        <v>1</v>
      </c>
      <c r="X36" s="166">
        <v>0</v>
      </c>
      <c r="Y36" s="165">
        <f t="shared" si="14"/>
        <v>1</v>
      </c>
      <c r="Z36" s="166">
        <v>0</v>
      </c>
      <c r="AA36" s="165">
        <f t="shared" si="15"/>
        <v>1</v>
      </c>
      <c r="AB36" s="166">
        <v>0</v>
      </c>
      <c r="AC36" s="165">
        <f t="shared" si="16"/>
        <v>1</v>
      </c>
      <c r="AD36" s="166">
        <v>0</v>
      </c>
      <c r="AE36" s="165">
        <f t="shared" si="17"/>
        <v>1</v>
      </c>
      <c r="AF36" s="166">
        <v>0</v>
      </c>
      <c r="AG36" s="165">
        <f t="shared" si="18"/>
        <v>1</v>
      </c>
      <c r="AH36" s="166">
        <v>7600</v>
      </c>
      <c r="AI36" s="165">
        <f t="shared" si="19"/>
        <v>2</v>
      </c>
      <c r="AJ36" s="166">
        <v>5</v>
      </c>
      <c r="AK36" s="165">
        <f t="shared" si="20"/>
        <v>2</v>
      </c>
      <c r="AL36" s="166">
        <v>0</v>
      </c>
      <c r="AM36" s="165">
        <f t="shared" si="21"/>
        <v>1</v>
      </c>
      <c r="AN36" s="166">
        <v>8</v>
      </c>
      <c r="AO36" s="165">
        <f t="shared" si="22"/>
        <v>2</v>
      </c>
      <c r="AP36" s="166">
        <v>0</v>
      </c>
      <c r="AQ36" s="165">
        <f t="shared" si="23"/>
        <v>1</v>
      </c>
      <c r="AR36" s="166">
        <v>0</v>
      </c>
      <c r="AS36" s="165">
        <f t="shared" si="24"/>
        <v>1</v>
      </c>
      <c r="AT36" s="166">
        <v>0</v>
      </c>
      <c r="AU36" s="165">
        <f t="shared" si="25"/>
        <v>1</v>
      </c>
      <c r="AV36" s="166">
        <v>0</v>
      </c>
      <c r="AW36" s="165">
        <f t="shared" si="26"/>
        <v>1</v>
      </c>
      <c r="AX36" s="166">
        <v>0</v>
      </c>
      <c r="AY36" s="165">
        <f t="shared" si="27"/>
        <v>1</v>
      </c>
      <c r="AZ36" s="166">
        <v>0</v>
      </c>
      <c r="BA36" s="165">
        <f t="shared" si="28"/>
        <v>1</v>
      </c>
      <c r="BB36" s="216">
        <f t="shared" si="29"/>
        <v>0.68</v>
      </c>
      <c r="BC36" s="168">
        <f t="shared" si="30"/>
        <v>16</v>
      </c>
      <c r="BD36" s="216">
        <f t="shared" si="31"/>
        <v>0.43999999999999995</v>
      </c>
      <c r="BE36" s="169">
        <f t="shared" si="32"/>
        <v>20</v>
      </c>
      <c r="BF36" s="170">
        <v>0</v>
      </c>
      <c r="BG36" s="171">
        <f t="shared" si="33"/>
        <v>1</v>
      </c>
      <c r="BH36" s="172">
        <v>0</v>
      </c>
      <c r="BI36" s="171">
        <f t="shared" si="34"/>
        <v>1</v>
      </c>
      <c r="BJ36" s="172">
        <v>0</v>
      </c>
      <c r="BK36" s="171">
        <f t="shared" si="35"/>
        <v>1</v>
      </c>
      <c r="BL36" s="172">
        <v>0</v>
      </c>
      <c r="BM36" s="171">
        <f t="shared" si="36"/>
        <v>1</v>
      </c>
      <c r="BN36" s="172">
        <v>17000</v>
      </c>
      <c r="BO36" s="171">
        <f t="shared" si="37"/>
        <v>3</v>
      </c>
      <c r="BP36" s="172">
        <v>17000</v>
      </c>
      <c r="BQ36" s="171">
        <f t="shared" si="38"/>
        <v>2</v>
      </c>
      <c r="BR36" s="172">
        <v>0</v>
      </c>
      <c r="BS36" s="171">
        <f t="shared" si="39"/>
        <v>1</v>
      </c>
      <c r="BT36" s="172">
        <v>0</v>
      </c>
      <c r="BU36" s="171">
        <f t="shared" si="40"/>
        <v>1</v>
      </c>
      <c r="BV36" s="172">
        <v>0</v>
      </c>
      <c r="BW36" s="171">
        <f t="shared" si="41"/>
        <v>1</v>
      </c>
      <c r="BX36" s="172">
        <v>0</v>
      </c>
      <c r="BY36" s="171">
        <f t="shared" si="42"/>
        <v>1</v>
      </c>
      <c r="BZ36" s="167">
        <v>0</v>
      </c>
      <c r="CA36" s="171">
        <f t="shared" si="43"/>
        <v>1</v>
      </c>
      <c r="CB36" s="167">
        <v>0</v>
      </c>
      <c r="CC36" s="171">
        <f t="shared" si="44"/>
        <v>1</v>
      </c>
      <c r="CD36" s="167">
        <f t="shared" si="45"/>
        <v>1.3333333333333333</v>
      </c>
      <c r="CE36" s="168">
        <f t="shared" si="46"/>
        <v>6</v>
      </c>
      <c r="CF36" s="167">
        <f t="shared" si="47"/>
        <v>1.1666666666666667</v>
      </c>
      <c r="CG36" s="169">
        <f t="shared" si="48"/>
        <v>12</v>
      </c>
      <c r="CH36" s="167">
        <v>1.07</v>
      </c>
      <c r="CI36" s="171">
        <f t="shared" si="49"/>
        <v>5</v>
      </c>
      <c r="CJ36" s="167">
        <v>1.07</v>
      </c>
      <c r="CK36" s="171">
        <f t="shared" si="50"/>
        <v>5</v>
      </c>
      <c r="CL36" s="167">
        <v>6</v>
      </c>
      <c r="CM36" s="171">
        <f t="shared" si="51"/>
        <v>12</v>
      </c>
      <c r="CN36" s="167">
        <v>641</v>
      </c>
      <c r="CO36" s="171">
        <f t="shared" si="52"/>
        <v>19</v>
      </c>
      <c r="CP36" s="167">
        <v>572</v>
      </c>
      <c r="CQ36" s="171">
        <f t="shared" si="53"/>
        <v>23</v>
      </c>
      <c r="CR36" s="167">
        <v>40.6</v>
      </c>
      <c r="CS36" s="171">
        <f t="shared" si="54"/>
        <v>21</v>
      </c>
      <c r="CT36" s="167">
        <f>CR36+4</f>
        <v>44.6</v>
      </c>
      <c r="CU36" s="171">
        <f t="shared" si="55"/>
        <v>21</v>
      </c>
      <c r="CV36" s="167">
        <f>16.4</f>
        <v>16.399999999999999</v>
      </c>
      <c r="CW36" s="171">
        <f t="shared" si="56"/>
        <v>24</v>
      </c>
      <c r="CX36" s="167">
        <v>3.4999999999999982</v>
      </c>
      <c r="CY36" s="171">
        <f t="shared" si="57"/>
        <v>25</v>
      </c>
      <c r="CZ36" s="167">
        <f t="shared" si="0"/>
        <v>16.2</v>
      </c>
      <c r="DA36" s="168">
        <f t="shared" si="58"/>
        <v>22</v>
      </c>
      <c r="DB36" s="167">
        <f t="shared" si="59"/>
        <v>17.2</v>
      </c>
      <c r="DC36" s="169">
        <f t="shared" si="1"/>
        <v>23</v>
      </c>
      <c r="DD36" s="173">
        <v>69.326999999999998</v>
      </c>
      <c r="DE36" s="171">
        <f t="shared" si="60"/>
        <v>5</v>
      </c>
      <c r="DF36" s="167">
        <v>3.27</v>
      </c>
      <c r="DG36" s="171">
        <f t="shared" si="61"/>
        <v>18</v>
      </c>
      <c r="DH36" s="174">
        <v>5.3E-3</v>
      </c>
      <c r="DI36" s="171">
        <f t="shared" si="62"/>
        <v>20</v>
      </c>
      <c r="DJ36" s="175">
        <v>0.22700000000000001</v>
      </c>
      <c r="DK36" s="171">
        <f t="shared" si="63"/>
        <v>17</v>
      </c>
      <c r="DL36" s="167">
        <v>8.1</v>
      </c>
      <c r="DM36" s="171">
        <f t="shared" si="64"/>
        <v>23</v>
      </c>
      <c r="DN36" s="167">
        <v>0</v>
      </c>
      <c r="DO36" s="171">
        <f t="shared" si="65"/>
        <v>15</v>
      </c>
      <c r="DP36" s="167">
        <v>70</v>
      </c>
      <c r="DQ36" s="171">
        <f t="shared" si="66"/>
        <v>19</v>
      </c>
      <c r="DR36" s="167">
        <v>79.599999999999994</v>
      </c>
      <c r="DS36" s="171">
        <f t="shared" si="67"/>
        <v>19</v>
      </c>
      <c r="DT36" s="167">
        <v>2.1999999999999999E-2</v>
      </c>
      <c r="DU36" s="171">
        <f t="shared" si="68"/>
        <v>13</v>
      </c>
      <c r="DV36" s="167">
        <f>AVERAGE(DU36,DS36,DQ36,DM36,DK36,DI36,DG36,DE36)</f>
        <v>16.75</v>
      </c>
      <c r="DW36" s="169">
        <f t="shared" si="70"/>
        <v>20</v>
      </c>
      <c r="DX36" s="176"/>
      <c r="DY36" s="173">
        <v>0</v>
      </c>
      <c r="DZ36" s="171">
        <f t="shared" si="71"/>
        <v>22</v>
      </c>
      <c r="EA36" s="167">
        <v>0</v>
      </c>
      <c r="EB36" s="171">
        <f t="shared" si="72"/>
        <v>22</v>
      </c>
      <c r="EC36" s="167">
        <v>0</v>
      </c>
      <c r="ED36" s="171">
        <f t="shared" si="73"/>
        <v>9</v>
      </c>
      <c r="EE36" s="167">
        <v>0</v>
      </c>
      <c r="EF36" s="171">
        <f t="shared" si="74"/>
        <v>10</v>
      </c>
      <c r="EG36" s="167">
        <v>0</v>
      </c>
      <c r="EH36" s="171">
        <f t="shared" si="75"/>
        <v>16</v>
      </c>
      <c r="EI36" s="167">
        <v>0</v>
      </c>
      <c r="EJ36" s="171">
        <f t="shared" si="76"/>
        <v>25</v>
      </c>
      <c r="EK36" s="167">
        <v>0</v>
      </c>
      <c r="EL36" s="171">
        <f t="shared" si="77"/>
        <v>14</v>
      </c>
      <c r="EM36" s="167">
        <v>0</v>
      </c>
      <c r="EN36" s="171">
        <f t="shared" si="78"/>
        <v>16</v>
      </c>
      <c r="EO36" s="167">
        <v>0.26900000000000002</v>
      </c>
      <c r="EP36" s="171">
        <f t="shared" si="79"/>
        <v>2</v>
      </c>
      <c r="EQ36" s="167">
        <v>2.19</v>
      </c>
      <c r="ER36" s="171">
        <f t="shared" si="80"/>
        <v>2</v>
      </c>
      <c r="ES36" s="167">
        <v>78.607313818343613</v>
      </c>
      <c r="ET36" s="171">
        <f t="shared" si="91"/>
        <v>1</v>
      </c>
      <c r="EU36" s="167">
        <v>402.60398426142297</v>
      </c>
      <c r="EV36" s="171">
        <f t="shared" si="92"/>
        <v>1</v>
      </c>
      <c r="EW36" s="167">
        <f t="shared" si="90"/>
        <v>0.26900000000000002</v>
      </c>
      <c r="EX36" s="165">
        <f t="shared" si="81"/>
        <v>11</v>
      </c>
      <c r="EY36" s="167">
        <f t="shared" si="82"/>
        <v>2.19</v>
      </c>
      <c r="EZ36" s="165">
        <f t="shared" si="83"/>
        <v>12</v>
      </c>
      <c r="FA36" s="167">
        <f t="shared" si="84"/>
        <v>6</v>
      </c>
      <c r="FB36" s="168">
        <f t="shared" si="85"/>
        <v>10</v>
      </c>
      <c r="FC36" s="167">
        <f t="shared" si="86"/>
        <v>6.5</v>
      </c>
      <c r="FD36" s="169">
        <f t="shared" si="87"/>
        <v>12</v>
      </c>
      <c r="FE36" s="167">
        <f t="shared" si="2"/>
        <v>3.06</v>
      </c>
      <c r="FF36" s="168">
        <f t="shared" si="88"/>
        <v>19</v>
      </c>
      <c r="FG36" s="167">
        <f t="shared" si="3"/>
        <v>3.56</v>
      </c>
      <c r="FH36" s="177">
        <f t="shared" si="89"/>
        <v>23</v>
      </c>
      <c r="FI36"/>
    </row>
    <row r="37" spans="2:166">
      <c r="B37" s="675"/>
      <c r="C37" s="262" t="s">
        <v>9</v>
      </c>
      <c r="D37" s="164">
        <v>1200</v>
      </c>
      <c r="E37" s="165">
        <f t="shared" si="4"/>
        <v>4</v>
      </c>
      <c r="F37" s="166">
        <v>3.95</v>
      </c>
      <c r="G37" s="165">
        <f t="shared" si="5"/>
        <v>2</v>
      </c>
      <c r="H37" s="166">
        <v>5</v>
      </c>
      <c r="I37" s="165">
        <f t="shared" si="6"/>
        <v>2</v>
      </c>
      <c r="J37" s="166">
        <v>15.515000000000001</v>
      </c>
      <c r="K37" s="165">
        <f t="shared" si="7"/>
        <v>2</v>
      </c>
      <c r="L37" s="166">
        <v>8.5000000010000001</v>
      </c>
      <c r="M37" s="165">
        <f t="shared" si="8"/>
        <v>2</v>
      </c>
      <c r="N37" s="166">
        <v>2800</v>
      </c>
      <c r="O37" s="165">
        <f t="shared" si="9"/>
        <v>3</v>
      </c>
      <c r="P37" s="166">
        <v>150.89148936170213</v>
      </c>
      <c r="Q37" s="165">
        <f t="shared" si="10"/>
        <v>5</v>
      </c>
      <c r="R37" s="166">
        <v>6</v>
      </c>
      <c r="S37" s="165">
        <f t="shared" si="11"/>
        <v>2</v>
      </c>
      <c r="T37" s="166">
        <v>418.58138297872335</v>
      </c>
      <c r="U37" s="165">
        <f t="shared" si="12"/>
        <v>5</v>
      </c>
      <c r="V37" s="166">
        <v>183.69236170212764</v>
      </c>
      <c r="W37" s="165">
        <f t="shared" si="13"/>
        <v>4</v>
      </c>
      <c r="X37" s="166">
        <v>20000</v>
      </c>
      <c r="Y37" s="165">
        <f t="shared" si="14"/>
        <v>5</v>
      </c>
      <c r="Z37" s="166">
        <v>226</v>
      </c>
      <c r="AA37" s="165">
        <f t="shared" si="15"/>
        <v>5</v>
      </c>
      <c r="AB37" s="166">
        <v>124.5</v>
      </c>
      <c r="AC37" s="165">
        <f t="shared" si="16"/>
        <v>2</v>
      </c>
      <c r="AD37" s="166">
        <v>288.27499999999998</v>
      </c>
      <c r="AE37" s="165">
        <f t="shared" si="17"/>
        <v>5</v>
      </c>
      <c r="AF37" s="166">
        <v>182</v>
      </c>
      <c r="AG37" s="165">
        <f t="shared" si="18"/>
        <v>3</v>
      </c>
      <c r="AH37" s="166">
        <v>0</v>
      </c>
      <c r="AI37" s="165">
        <f t="shared" si="19"/>
        <v>1</v>
      </c>
      <c r="AJ37" s="166">
        <v>0</v>
      </c>
      <c r="AK37" s="165">
        <f t="shared" si="20"/>
        <v>1</v>
      </c>
      <c r="AL37" s="166">
        <v>0</v>
      </c>
      <c r="AM37" s="165">
        <f t="shared" si="21"/>
        <v>1</v>
      </c>
      <c r="AN37" s="166">
        <v>0</v>
      </c>
      <c r="AO37" s="165">
        <f t="shared" si="22"/>
        <v>1</v>
      </c>
      <c r="AP37" s="166">
        <v>20</v>
      </c>
      <c r="AQ37" s="165">
        <f t="shared" si="23"/>
        <v>2</v>
      </c>
      <c r="AR37" s="166">
        <v>100000</v>
      </c>
      <c r="AS37" s="165">
        <f t="shared" si="24"/>
        <v>4</v>
      </c>
      <c r="AT37" s="166">
        <v>3240</v>
      </c>
      <c r="AU37" s="165">
        <f t="shared" si="25"/>
        <v>3</v>
      </c>
      <c r="AV37" s="166">
        <v>40</v>
      </c>
      <c r="AW37" s="165">
        <f t="shared" si="26"/>
        <v>2</v>
      </c>
      <c r="AX37" s="166">
        <v>7779</v>
      </c>
      <c r="AY37" s="165">
        <f t="shared" si="27"/>
        <v>3</v>
      </c>
      <c r="AZ37" s="166">
        <v>40</v>
      </c>
      <c r="BA37" s="165">
        <f t="shared" si="28"/>
        <v>2</v>
      </c>
      <c r="BB37" s="216">
        <f t="shared" si="29"/>
        <v>1.6800000000000002</v>
      </c>
      <c r="BC37" s="168">
        <f t="shared" si="30"/>
        <v>2</v>
      </c>
      <c r="BD37" s="216">
        <f t="shared" si="31"/>
        <v>1.1599999999999999</v>
      </c>
      <c r="BE37" s="169">
        <f t="shared" si="32"/>
        <v>2</v>
      </c>
      <c r="BF37" s="170">
        <v>0</v>
      </c>
      <c r="BG37" s="171">
        <f t="shared" si="33"/>
        <v>1</v>
      </c>
      <c r="BH37" s="172">
        <v>0</v>
      </c>
      <c r="BI37" s="171">
        <f t="shared" si="34"/>
        <v>1</v>
      </c>
      <c r="BJ37" s="172">
        <v>0</v>
      </c>
      <c r="BK37" s="171">
        <f t="shared" si="35"/>
        <v>1</v>
      </c>
      <c r="BL37" s="172">
        <v>0</v>
      </c>
      <c r="BM37" s="171">
        <f t="shared" si="36"/>
        <v>1</v>
      </c>
      <c r="BN37" s="172">
        <v>0</v>
      </c>
      <c r="BO37" s="171">
        <f t="shared" si="37"/>
        <v>1</v>
      </c>
      <c r="BP37" s="172">
        <v>0</v>
      </c>
      <c r="BQ37" s="171">
        <f t="shared" si="38"/>
        <v>1</v>
      </c>
      <c r="BR37" s="172">
        <v>0</v>
      </c>
      <c r="BS37" s="171">
        <f t="shared" si="39"/>
        <v>1</v>
      </c>
      <c r="BT37" s="172">
        <v>0</v>
      </c>
      <c r="BU37" s="171">
        <f t="shared" si="40"/>
        <v>1</v>
      </c>
      <c r="BV37" s="172">
        <v>0</v>
      </c>
      <c r="BW37" s="171">
        <f t="shared" si="41"/>
        <v>1</v>
      </c>
      <c r="BX37" s="172">
        <v>0</v>
      </c>
      <c r="BY37" s="171">
        <f t="shared" si="42"/>
        <v>1</v>
      </c>
      <c r="BZ37" s="167">
        <v>0</v>
      </c>
      <c r="CA37" s="171">
        <f t="shared" si="43"/>
        <v>1</v>
      </c>
      <c r="CB37" s="167">
        <v>15</v>
      </c>
      <c r="CC37" s="171">
        <f t="shared" si="44"/>
        <v>2</v>
      </c>
      <c r="CD37" s="167">
        <f t="shared" si="45"/>
        <v>1</v>
      </c>
      <c r="CE37" s="168">
        <f t="shared" si="46"/>
        <v>13</v>
      </c>
      <c r="CF37" s="167">
        <f t="shared" si="47"/>
        <v>1.1666666666666667</v>
      </c>
      <c r="CG37" s="169">
        <f t="shared" si="48"/>
        <v>12</v>
      </c>
      <c r="CH37" s="167">
        <v>3.31</v>
      </c>
      <c r="CI37" s="171">
        <f t="shared" si="49"/>
        <v>24</v>
      </c>
      <c r="CJ37" s="167">
        <v>3.5</v>
      </c>
      <c r="CK37" s="171">
        <f t="shared" si="50"/>
        <v>24</v>
      </c>
      <c r="CL37" s="167">
        <v>4</v>
      </c>
      <c r="CM37" s="171">
        <f t="shared" si="51"/>
        <v>18</v>
      </c>
      <c r="CN37" s="167">
        <v>677</v>
      </c>
      <c r="CO37" s="171">
        <f t="shared" si="52"/>
        <v>22</v>
      </c>
      <c r="CP37" s="167">
        <v>560</v>
      </c>
      <c r="CQ37" s="171">
        <f t="shared" si="53"/>
        <v>20</v>
      </c>
      <c r="CR37" s="167">
        <v>91.6</v>
      </c>
      <c r="CS37" s="171">
        <f t="shared" si="54"/>
        <v>4</v>
      </c>
      <c r="CT37" s="167">
        <f>CR37+2.3</f>
        <v>93.899999999999991</v>
      </c>
      <c r="CU37" s="171">
        <f t="shared" si="55"/>
        <v>5</v>
      </c>
      <c r="CV37" s="167">
        <v>27.9</v>
      </c>
      <c r="CW37" s="171">
        <f t="shared" si="56"/>
        <v>12</v>
      </c>
      <c r="CX37" s="167">
        <v>25.299999999999997</v>
      </c>
      <c r="CY37" s="171">
        <f t="shared" si="57"/>
        <v>13</v>
      </c>
      <c r="CZ37" s="167">
        <f t="shared" si="0"/>
        <v>16</v>
      </c>
      <c r="DA37" s="168">
        <f t="shared" si="58"/>
        <v>21</v>
      </c>
      <c r="DB37" s="167">
        <f t="shared" si="59"/>
        <v>16</v>
      </c>
      <c r="DC37" s="169">
        <f t="shared" si="1"/>
        <v>19</v>
      </c>
      <c r="DD37" s="173">
        <f>(90+145)/2</f>
        <v>117.5</v>
      </c>
      <c r="DE37" s="171">
        <f t="shared" si="60"/>
        <v>20</v>
      </c>
      <c r="DF37" s="167">
        <v>3.75</v>
      </c>
      <c r="DG37" s="171">
        <f t="shared" si="61"/>
        <v>8</v>
      </c>
      <c r="DH37" s="174">
        <v>1.787E-2</v>
      </c>
      <c r="DI37" s="171">
        <f t="shared" si="62"/>
        <v>10</v>
      </c>
      <c r="DJ37" s="175">
        <v>0.184</v>
      </c>
      <c r="DK37" s="171">
        <f t="shared" si="63"/>
        <v>22</v>
      </c>
      <c r="DL37" s="167">
        <v>38</v>
      </c>
      <c r="DM37" s="171">
        <f t="shared" si="64"/>
        <v>11</v>
      </c>
      <c r="DN37" s="167">
        <v>92.45</v>
      </c>
      <c r="DO37" s="171">
        <f t="shared" si="65"/>
        <v>1</v>
      </c>
      <c r="DP37" s="167">
        <v>14</v>
      </c>
      <c r="DQ37" s="171">
        <f t="shared" si="66"/>
        <v>5</v>
      </c>
      <c r="DR37" s="167">
        <v>88.2</v>
      </c>
      <c r="DS37" s="171">
        <f t="shared" si="67"/>
        <v>2</v>
      </c>
      <c r="DT37" s="167">
        <v>9.6000000000000002E-2</v>
      </c>
      <c r="DU37" s="171">
        <f t="shared" si="68"/>
        <v>21</v>
      </c>
      <c r="DV37" s="167">
        <f t="shared" si="69"/>
        <v>11.111111111111111</v>
      </c>
      <c r="DW37" s="169">
        <f t="shared" si="70"/>
        <v>12</v>
      </c>
      <c r="DX37" s="176"/>
      <c r="DY37" s="173">
        <v>0.3</v>
      </c>
      <c r="DZ37" s="171">
        <f t="shared" si="71"/>
        <v>10</v>
      </c>
      <c r="EA37" s="167">
        <v>2.8</v>
      </c>
      <c r="EB37" s="171">
        <f t="shared" si="72"/>
        <v>11</v>
      </c>
      <c r="EC37" s="167">
        <v>0</v>
      </c>
      <c r="ED37" s="171">
        <f t="shared" si="73"/>
        <v>9</v>
      </c>
      <c r="EE37" s="167">
        <v>0</v>
      </c>
      <c r="EF37" s="171">
        <f t="shared" si="74"/>
        <v>10</v>
      </c>
      <c r="EG37" s="167">
        <v>0.30599999999999999</v>
      </c>
      <c r="EH37" s="171">
        <f t="shared" si="75"/>
        <v>7</v>
      </c>
      <c r="EI37" s="167">
        <v>2.226</v>
      </c>
      <c r="EJ37" s="171">
        <f t="shared" si="76"/>
        <v>7</v>
      </c>
      <c r="EK37" s="167">
        <v>0</v>
      </c>
      <c r="EL37" s="171">
        <f t="shared" si="77"/>
        <v>14</v>
      </c>
      <c r="EM37" s="167">
        <v>0.09</v>
      </c>
      <c r="EN37" s="171">
        <f t="shared" si="78"/>
        <v>11</v>
      </c>
      <c r="EO37" s="167">
        <v>0</v>
      </c>
      <c r="EP37" s="171">
        <f t="shared" si="79"/>
        <v>9</v>
      </c>
      <c r="EQ37" s="167">
        <v>1E-3</v>
      </c>
      <c r="ER37" s="171">
        <f t="shared" si="80"/>
        <v>12</v>
      </c>
      <c r="ES37" s="167">
        <v>78.607313818343613</v>
      </c>
      <c r="ET37" s="171">
        <f t="shared" si="91"/>
        <v>1</v>
      </c>
      <c r="EU37" s="167">
        <v>402.60398426142297</v>
      </c>
      <c r="EV37" s="171">
        <f t="shared" si="92"/>
        <v>1</v>
      </c>
      <c r="EW37" s="167">
        <f t="shared" si="90"/>
        <v>0.60599999999999998</v>
      </c>
      <c r="EX37" s="165">
        <f t="shared" si="81"/>
        <v>10</v>
      </c>
      <c r="EY37" s="167">
        <f t="shared" si="82"/>
        <v>5.117</v>
      </c>
      <c r="EZ37" s="165">
        <f t="shared" si="83"/>
        <v>11</v>
      </c>
      <c r="FA37" s="167">
        <f t="shared" si="84"/>
        <v>5.5</v>
      </c>
      <c r="FB37" s="168">
        <f t="shared" si="85"/>
        <v>8</v>
      </c>
      <c r="FC37" s="167">
        <f t="shared" si="86"/>
        <v>6</v>
      </c>
      <c r="FD37" s="169">
        <f t="shared" si="87"/>
        <v>11</v>
      </c>
      <c r="FE37" s="167">
        <f t="shared" si="2"/>
        <v>2.13</v>
      </c>
      <c r="FF37" s="168">
        <f t="shared" si="88"/>
        <v>11</v>
      </c>
      <c r="FG37" s="167">
        <f t="shared" si="3"/>
        <v>2.1399999999999997</v>
      </c>
      <c r="FH37" s="177">
        <f t="shared" si="89"/>
        <v>11</v>
      </c>
      <c r="FI37"/>
      <c r="FJ37" s="109"/>
    </row>
    <row r="38" spans="2:166">
      <c r="B38" s="178" t="s">
        <v>95</v>
      </c>
      <c r="C38" s="179" t="s">
        <v>95</v>
      </c>
      <c r="D38" s="180">
        <f>SUM(D13:D37)</f>
        <v>5605</v>
      </c>
      <c r="E38" s="181"/>
      <c r="F38" s="181">
        <f t="shared" ref="F38:AD38" si="93">SUM(F13:F37)</f>
        <v>135.96299999999999</v>
      </c>
      <c r="G38" s="181"/>
      <c r="H38" s="181">
        <f t="shared" si="93"/>
        <v>149.733</v>
      </c>
      <c r="I38" s="181"/>
      <c r="J38" s="181">
        <f t="shared" si="93"/>
        <v>238.18549999999999</v>
      </c>
      <c r="K38" s="181"/>
      <c r="L38" s="181">
        <f t="shared" si="93"/>
        <v>206.45800000775006</v>
      </c>
      <c r="M38" s="181"/>
      <c r="N38" s="181">
        <f t="shared" si="93"/>
        <v>14565</v>
      </c>
      <c r="O38" s="181"/>
      <c r="P38" s="181">
        <f t="shared" si="93"/>
        <v>396.62486170212765</v>
      </c>
      <c r="Q38" s="181"/>
      <c r="R38" s="181">
        <f>SUM(R13:R37)</f>
        <v>514.32264148936167</v>
      </c>
      <c r="S38" s="181"/>
      <c r="T38" s="181">
        <f t="shared" si="93"/>
        <v>1072.0581063829786</v>
      </c>
      <c r="U38" s="181"/>
      <c r="V38" s="181">
        <f t="shared" si="93"/>
        <v>1185.8691170212767</v>
      </c>
      <c r="W38" s="181"/>
      <c r="X38" s="181">
        <f t="shared" si="93"/>
        <v>62200</v>
      </c>
      <c r="Y38" s="181"/>
      <c r="Z38" s="181">
        <f t="shared" si="93"/>
        <v>730.62590163934419</v>
      </c>
      <c r="AA38" s="181"/>
      <c r="AB38" s="181">
        <f t="shared" si="93"/>
        <v>1243.5484999999999</v>
      </c>
      <c r="AC38" s="181"/>
      <c r="AD38" s="181">
        <f t="shared" si="93"/>
        <v>1027.405</v>
      </c>
      <c r="AE38" s="181"/>
      <c r="AF38" s="182">
        <f>SUM(AF13:AF37)</f>
        <v>1483.0450000000001</v>
      </c>
      <c r="AG38" s="182"/>
      <c r="AH38" s="182">
        <f>SUM(AH13:AH37)</f>
        <v>163760</v>
      </c>
      <c r="AI38" s="182"/>
      <c r="AJ38" s="182">
        <f>SUM(AJ13:AJ37)</f>
        <v>960.8</v>
      </c>
      <c r="AK38" s="182"/>
      <c r="AL38" s="182">
        <f>SUM(AL13:AL37)</f>
        <v>408.5</v>
      </c>
      <c r="AM38" s="182"/>
      <c r="AN38" s="182">
        <f>SUM(AN13:AN37)</f>
        <v>1252.9000000000001</v>
      </c>
      <c r="AO38" s="182"/>
      <c r="AP38" s="182">
        <f>SUM(AP13:AP37)</f>
        <v>438.5</v>
      </c>
      <c r="AQ38" s="182"/>
      <c r="AR38" s="182">
        <f>SUM(AR13:AR37)</f>
        <v>588000</v>
      </c>
      <c r="AS38" s="182"/>
      <c r="AT38" s="182">
        <f>SUM(AT13:AT37)</f>
        <v>46274</v>
      </c>
      <c r="AU38" s="182"/>
      <c r="AV38" s="182">
        <f>SUM(AV13:AV37)</f>
        <v>4148</v>
      </c>
      <c r="AW38" s="182"/>
      <c r="AX38" s="182">
        <f>SUM(AX13:AX37)</f>
        <v>67312.5</v>
      </c>
      <c r="AY38" s="182"/>
      <c r="AZ38" s="182">
        <f>SUM(AZ13:AZ37)</f>
        <v>5392.5</v>
      </c>
      <c r="BA38" s="182"/>
      <c r="BB38" s="182">
        <f>AVERAGE(BB13:BB37)</f>
        <v>0.8992</v>
      </c>
      <c r="BC38" s="182"/>
      <c r="BD38" s="182">
        <f>AVERAGE(BD13:BD37)</f>
        <v>0.62400000000000011</v>
      </c>
      <c r="BE38" s="183"/>
      <c r="BF38" s="184">
        <f>SUM(BF13:BF37)</f>
        <v>62300</v>
      </c>
      <c r="BG38" s="182"/>
      <c r="BH38" s="182">
        <f>SUM(BH13:BH37)</f>
        <v>105800</v>
      </c>
      <c r="BI38" s="182"/>
      <c r="BJ38" s="182">
        <f>SUM(BJ13:BJ37)</f>
        <v>501300</v>
      </c>
      <c r="BK38" s="182"/>
      <c r="BL38" s="182">
        <f>SUM(BL13:BL37)</f>
        <v>1003100</v>
      </c>
      <c r="BM38" s="182"/>
      <c r="BN38" s="182">
        <f>SUM(BN13:BN37)</f>
        <v>795292</v>
      </c>
      <c r="BO38" s="182"/>
      <c r="BP38" s="182">
        <f>SUM(BP13:BP37)</f>
        <v>1913492</v>
      </c>
      <c r="BQ38" s="182"/>
      <c r="BR38" s="182">
        <f>SUM(BR13:BR37)</f>
        <v>408500</v>
      </c>
      <c r="BS38" s="182"/>
      <c r="BT38" s="182">
        <f>SUM(BT13:BT37)</f>
        <v>623000</v>
      </c>
      <c r="BU38" s="182"/>
      <c r="BV38" s="182">
        <f>SUM(BV13:BV37)</f>
        <v>7336</v>
      </c>
      <c r="BW38" s="182"/>
      <c r="BX38" s="182">
        <f>SUM(BX13:BX37)</f>
        <v>14248</v>
      </c>
      <c r="BY38" s="182"/>
      <c r="BZ38" s="182">
        <f>SUM(BZ13:BZ37)</f>
        <v>501.56999999999994</v>
      </c>
      <c r="CA38" s="182"/>
      <c r="CB38" s="182">
        <f>SUM(CB13:CB37)</f>
        <v>1712.7100000000003</v>
      </c>
      <c r="CC38" s="182"/>
      <c r="CD38" s="182">
        <f>AVERAGE(CD13:CD37)</f>
        <v>1.5066666666666666</v>
      </c>
      <c r="CE38" s="182"/>
      <c r="CF38" s="182">
        <f>AVERAGE(CF13:CF37)</f>
        <v>1.5866666666666667</v>
      </c>
      <c r="CG38" s="185"/>
      <c r="CH38" s="186">
        <f>AVERAGE(CH13:CH37)</f>
        <v>2.1231999999999998</v>
      </c>
      <c r="CI38" s="186"/>
      <c r="CJ38" s="186">
        <f>AVERAGE(CJ13:CJ37)</f>
        <v>2.2240000000000002</v>
      </c>
      <c r="CK38" s="186"/>
      <c r="CL38" s="186">
        <f>AVERAGE(CL13:CL37)</f>
        <v>10.32</v>
      </c>
      <c r="CM38" s="186"/>
      <c r="CN38" s="186">
        <f>SUM(CN13:CN37)</f>
        <v>9520</v>
      </c>
      <c r="CO38" s="186"/>
      <c r="CP38" s="186">
        <f>SUM(CP13:CP37)</f>
        <v>7743</v>
      </c>
      <c r="CQ38" s="186"/>
      <c r="CR38" s="186">
        <f>AVERAGE(CR13:CR37)</f>
        <v>62.007999999999996</v>
      </c>
      <c r="CS38" s="186"/>
      <c r="CT38" s="186">
        <f>AVERAGE(CT13:CT37)</f>
        <v>65.707999999999998</v>
      </c>
      <c r="CU38" s="186"/>
      <c r="CV38" s="186">
        <f>AVERAGE(CV13:CV37)</f>
        <v>27.55599999999999</v>
      </c>
      <c r="CW38" s="186"/>
      <c r="CX38" s="186">
        <f>AVERAGE(CX13:CX37)</f>
        <v>25.287999999999993</v>
      </c>
      <c r="CY38" s="186"/>
      <c r="CZ38" s="186">
        <f>AVERAGE(CZ13:CZ37)</f>
        <v>12.783999999999999</v>
      </c>
      <c r="DA38" s="186"/>
      <c r="DB38" s="186">
        <f>AVERAGE(DB13:DB37)</f>
        <v>12.767999999999999</v>
      </c>
      <c r="DC38" s="183"/>
      <c r="DD38" s="187">
        <f>AVERAGE(DD13:DD37)</f>
        <v>97.924039999999991</v>
      </c>
      <c r="DE38" s="186"/>
      <c r="DF38" s="186">
        <f>AVERAGE(DF13:DF37)</f>
        <v>3.4912000000000001</v>
      </c>
      <c r="DG38" s="186"/>
      <c r="DH38" s="188">
        <f>AVERAGE(DH13:DH37)</f>
        <v>1.6071599999999998E-2</v>
      </c>
      <c r="DI38" s="186"/>
      <c r="DJ38" s="188">
        <f>AVERAGE(DJ13:DJ37)</f>
        <v>0.25400748000000006</v>
      </c>
      <c r="DK38" s="186"/>
      <c r="DL38" s="186">
        <f>AVERAGE(DL13:DL37)</f>
        <v>35.388000000000005</v>
      </c>
      <c r="DM38" s="186"/>
      <c r="DN38" s="186">
        <f>AVERAGE(DN13:DN37)</f>
        <v>39.077200000000005</v>
      </c>
      <c r="DO38" s="186"/>
      <c r="DP38" s="186">
        <f>AVERAGE(DP13:DP37)</f>
        <v>51.64</v>
      </c>
      <c r="DQ38" s="186"/>
      <c r="DR38" s="186">
        <f>AVERAGE(DR13:DR37)</f>
        <v>81.040000000000006</v>
      </c>
      <c r="DS38" s="186"/>
      <c r="DT38" s="189">
        <f>AVERAGE(DT13:DT37)</f>
        <v>5.176E-2</v>
      </c>
      <c r="DU38" s="186"/>
      <c r="DV38" s="186">
        <f>AVERAGE(DV13:DV37)</f>
        <v>12.280555555555555</v>
      </c>
      <c r="DW38" s="183"/>
      <c r="DX38" s="190"/>
      <c r="DY38" s="187">
        <f>SUM(DY13:DY37)</f>
        <v>80.595293232800003</v>
      </c>
      <c r="DZ38" s="186"/>
      <c r="EA38" s="186">
        <f>SUM(EA13:EA37)</f>
        <v>418.760624358656</v>
      </c>
      <c r="EB38" s="186"/>
      <c r="EC38" s="186">
        <f>SUM(EC13:EC37)</f>
        <v>8.1831544999841181</v>
      </c>
      <c r="ED38" s="186"/>
      <c r="EE38" s="186">
        <f>SUM(EE13:EE37)</f>
        <v>82.01431268658537</v>
      </c>
      <c r="EF38" s="186"/>
      <c r="EG38" s="186">
        <f>SUM(EG13:EG37)</f>
        <v>9.3329999999999966</v>
      </c>
      <c r="EH38" s="186"/>
      <c r="EI38" s="186">
        <f>SUM(EI13:EI37)</f>
        <v>62.370628571428576</v>
      </c>
      <c r="EJ38" s="186"/>
      <c r="EK38" s="186">
        <f>SUM(EK13:EK37)</f>
        <v>15.0204</v>
      </c>
      <c r="EL38" s="186"/>
      <c r="EM38" s="186">
        <f>SUM(EM13:EM37)</f>
        <v>23.765000000000001</v>
      </c>
      <c r="EN38" s="186"/>
      <c r="EO38" s="186">
        <f>SUM(EO13:EO37)</f>
        <v>4.6899237236689686</v>
      </c>
      <c r="EP38" s="186"/>
      <c r="EQ38" s="186">
        <f>SUM(EQ13:EQ37)</f>
        <v>39.647595020312508</v>
      </c>
      <c r="ER38" s="186"/>
      <c r="ES38" s="186">
        <f>SUM(ES13:ES37)</f>
        <v>1045.422772904805</v>
      </c>
      <c r="ET38" s="186"/>
      <c r="EU38" s="186">
        <f>SUM(EU13:EU37)</f>
        <v>5872.7432558553628</v>
      </c>
      <c r="EV38" s="186"/>
      <c r="EW38" s="186">
        <f>SUM(EW13:EW37)</f>
        <v>117.82177145645308</v>
      </c>
      <c r="EX38" s="186"/>
      <c r="EY38" s="186">
        <f>SUM(EY13:EY37)</f>
        <v>626.55816063698228</v>
      </c>
      <c r="EZ38" s="186"/>
      <c r="FA38" s="186">
        <f>SUM(FA13:FA37)</f>
        <v>201.5</v>
      </c>
      <c r="FB38" s="186"/>
      <c r="FC38" s="186">
        <f>SUM(FC13:FC37)</f>
        <v>202</v>
      </c>
      <c r="FD38" s="183"/>
      <c r="FE38" s="186"/>
      <c r="FF38" s="186"/>
      <c r="FG38" s="186"/>
      <c r="FH38" s="191"/>
      <c r="FI38"/>
    </row>
    <row r="39" spans="2:166">
      <c r="B39" s="192"/>
      <c r="C39" s="193" t="s">
        <v>112</v>
      </c>
      <c r="D39" s="194">
        <f>MIN(D13:D37)</f>
        <v>0</v>
      </c>
      <c r="E39" s="195"/>
      <c r="F39" s="195">
        <f t="shared" ref="F39:AD39" si="94">MIN(F13:F37)</f>
        <v>0</v>
      </c>
      <c r="G39" s="195"/>
      <c r="H39" s="195">
        <f t="shared" si="94"/>
        <v>0</v>
      </c>
      <c r="I39" s="195"/>
      <c r="J39" s="195">
        <f t="shared" si="94"/>
        <v>0</v>
      </c>
      <c r="K39" s="195"/>
      <c r="L39" s="195">
        <f t="shared" si="94"/>
        <v>0</v>
      </c>
      <c r="M39" s="195"/>
      <c r="N39" s="195">
        <f t="shared" si="94"/>
        <v>0</v>
      </c>
      <c r="O39" s="195"/>
      <c r="P39" s="195">
        <f t="shared" si="94"/>
        <v>0</v>
      </c>
      <c r="Q39" s="195"/>
      <c r="R39" s="195">
        <f t="shared" si="94"/>
        <v>0</v>
      </c>
      <c r="S39" s="195"/>
      <c r="T39" s="195">
        <f t="shared" si="94"/>
        <v>0</v>
      </c>
      <c r="U39" s="195"/>
      <c r="V39" s="195">
        <f t="shared" si="94"/>
        <v>0</v>
      </c>
      <c r="W39" s="195"/>
      <c r="X39" s="195">
        <f t="shared" si="94"/>
        <v>0</v>
      </c>
      <c r="Y39" s="195"/>
      <c r="Z39" s="195">
        <f t="shared" si="94"/>
        <v>0</v>
      </c>
      <c r="AA39" s="195"/>
      <c r="AB39" s="195">
        <f t="shared" si="94"/>
        <v>0</v>
      </c>
      <c r="AC39" s="195"/>
      <c r="AD39" s="195">
        <f t="shared" si="94"/>
        <v>0</v>
      </c>
      <c r="AE39" s="195"/>
      <c r="AF39" s="196">
        <f>MIN(AF13:AF37)</f>
        <v>0</v>
      </c>
      <c r="AG39" s="196"/>
      <c r="AH39" s="196">
        <f>MIN(AH13:AH37)</f>
        <v>0</v>
      </c>
      <c r="AI39" s="196"/>
      <c r="AJ39" s="196">
        <f>MIN(AJ13:AJ37)</f>
        <v>0</v>
      </c>
      <c r="AK39" s="196"/>
      <c r="AL39" s="196">
        <f>MIN(AL13:AL37)</f>
        <v>0</v>
      </c>
      <c r="AM39" s="196"/>
      <c r="AN39" s="196">
        <f>MIN(AN13:AN37)</f>
        <v>0</v>
      </c>
      <c r="AO39" s="196"/>
      <c r="AP39" s="196">
        <f>MIN(AP13:AP37)</f>
        <v>0</v>
      </c>
      <c r="AQ39" s="196"/>
      <c r="AR39" s="196">
        <f>MIN(AR13:AR37)</f>
        <v>0</v>
      </c>
      <c r="AS39" s="196"/>
      <c r="AT39" s="196">
        <f>MIN(AT13:AT37)</f>
        <v>0</v>
      </c>
      <c r="AU39" s="196"/>
      <c r="AV39" s="196">
        <f>MIN(AV13:AV37)</f>
        <v>0</v>
      </c>
      <c r="AW39" s="196"/>
      <c r="AX39" s="196">
        <f>MIN(AX13:AX37)</f>
        <v>0</v>
      </c>
      <c r="AY39" s="196"/>
      <c r="AZ39" s="196">
        <f>MIN(AZ13:AZ37)</f>
        <v>0</v>
      </c>
      <c r="BA39" s="196"/>
      <c r="BB39" s="196">
        <f>MIN(BB13:BB37)</f>
        <v>0.60000000000000009</v>
      </c>
      <c r="BC39" s="196"/>
      <c r="BD39" s="196">
        <f>MIN(BD13:BD37)</f>
        <v>0.4</v>
      </c>
      <c r="BE39" s="197"/>
      <c r="BF39" s="198">
        <f>MIN(BF13:BF37)</f>
        <v>0</v>
      </c>
      <c r="BG39" s="196"/>
      <c r="BH39" s="196">
        <f>MIN(BH13:BH37)</f>
        <v>0</v>
      </c>
      <c r="BI39" s="196"/>
      <c r="BJ39" s="196">
        <f>MIN(BJ13:BJ37)</f>
        <v>0</v>
      </c>
      <c r="BK39" s="196"/>
      <c r="BL39" s="196">
        <f>MIN(BL13:BL37)</f>
        <v>0</v>
      </c>
      <c r="BM39" s="196"/>
      <c r="BN39" s="196">
        <f>MIN(BN13:BN37)</f>
        <v>0</v>
      </c>
      <c r="BO39" s="196"/>
      <c r="BP39" s="196">
        <f>MIN(BP13:BP37)</f>
        <v>0</v>
      </c>
      <c r="BQ39" s="196"/>
      <c r="BR39" s="196">
        <f>MIN(BR13:BR37)</f>
        <v>0</v>
      </c>
      <c r="BS39" s="196"/>
      <c r="BT39" s="196">
        <f>MIN(BT13:BT37)</f>
        <v>0</v>
      </c>
      <c r="BU39" s="196"/>
      <c r="BV39" s="196">
        <f>MIN(BV13:BV37)</f>
        <v>0</v>
      </c>
      <c r="BW39" s="196"/>
      <c r="BX39" s="196">
        <f>MIN(BX13:BX37)</f>
        <v>0</v>
      </c>
      <c r="BY39" s="196"/>
      <c r="BZ39" s="196">
        <f>MIN(BZ13:BZ37)</f>
        <v>0</v>
      </c>
      <c r="CA39" s="196"/>
      <c r="CB39" s="196">
        <f>MIN(CB13:CB37)</f>
        <v>0</v>
      </c>
      <c r="CC39" s="196"/>
      <c r="CD39" s="196">
        <f>MIN(CD13:CD37)</f>
        <v>1</v>
      </c>
      <c r="CE39" s="196"/>
      <c r="CF39" s="196">
        <f>MIN(CF13:CF37)</f>
        <v>1</v>
      </c>
      <c r="CG39" s="197"/>
      <c r="CH39" s="196">
        <f>MIN(CH13:CH37)</f>
        <v>0</v>
      </c>
      <c r="CI39" s="196"/>
      <c r="CJ39" s="196">
        <f>MIN(CJ13:CJ37)</f>
        <v>0</v>
      </c>
      <c r="CK39" s="196"/>
      <c r="CL39" s="196">
        <f>MIN(CL13:CL37)</f>
        <v>1</v>
      </c>
      <c r="CM39" s="196"/>
      <c r="CN39" s="196">
        <f>MIN(CN13:CN37)</f>
        <v>28</v>
      </c>
      <c r="CO39" s="196"/>
      <c r="CP39" s="196">
        <f>MIN(CP13:CP37)</f>
        <v>5</v>
      </c>
      <c r="CQ39" s="196"/>
      <c r="CR39" s="196">
        <f>MIN(CR13:CR37)</f>
        <v>16.3</v>
      </c>
      <c r="CS39" s="196"/>
      <c r="CT39" s="196">
        <f>MIN(CT13:CT37)</f>
        <v>16.7</v>
      </c>
      <c r="CU39" s="196"/>
      <c r="CV39" s="196">
        <f>MIN(CV13:CV37)</f>
        <v>14</v>
      </c>
      <c r="CW39" s="196"/>
      <c r="CX39" s="196">
        <f>MIN(CX13:CX37)</f>
        <v>3.4999999999999982</v>
      </c>
      <c r="CY39" s="196"/>
      <c r="CZ39" s="196">
        <f>MIN(CZ13:CZ37)</f>
        <v>5.6</v>
      </c>
      <c r="DA39" s="196"/>
      <c r="DB39" s="196">
        <f>MIN(DB13:DB37)</f>
        <v>5.2</v>
      </c>
      <c r="DC39" s="197"/>
      <c r="DD39" s="198">
        <f>MIN(DD13:DD37)</f>
        <v>42.96</v>
      </c>
      <c r="DE39" s="196"/>
      <c r="DF39" s="196">
        <f>MIN(DF13:DF37)</f>
        <v>2.4300000000000002</v>
      </c>
      <c r="DG39" s="196"/>
      <c r="DH39" s="199">
        <f>MIN(DH13:DH37)</f>
        <v>1.6000000000000001E-3</v>
      </c>
      <c r="DI39" s="196"/>
      <c r="DJ39" s="199">
        <f>MIN(DJ13:DJ37)</f>
        <v>0.155</v>
      </c>
      <c r="DK39" s="196"/>
      <c r="DL39" s="196">
        <f>MIN(DL13:DL37)</f>
        <v>0</v>
      </c>
      <c r="DM39" s="196"/>
      <c r="DN39" s="196">
        <f>MIN(DN13:DN37)</f>
        <v>0</v>
      </c>
      <c r="DO39" s="196"/>
      <c r="DP39" s="196">
        <f>MIN(DP13:DP37)</f>
        <v>5</v>
      </c>
      <c r="DQ39" s="196"/>
      <c r="DR39" s="196">
        <f>MIN(DR13:DR37)</f>
        <v>64.599999999999994</v>
      </c>
      <c r="DS39" s="196"/>
      <c r="DT39" s="200">
        <f>MIN(DT13:DT37)</f>
        <v>0</v>
      </c>
      <c r="DU39" s="196"/>
      <c r="DV39" s="196">
        <f>MIN(DV13:DV37)</f>
        <v>3.8888888888888888</v>
      </c>
      <c r="DW39" s="197"/>
      <c r="DX39" s="201"/>
      <c r="DY39" s="198">
        <f>MIN(DY13:DY37)</f>
        <v>0</v>
      </c>
      <c r="DZ39" s="196"/>
      <c r="EA39" s="196">
        <f>MIN(EA13:EA37)</f>
        <v>0</v>
      </c>
      <c r="EB39" s="196"/>
      <c r="EC39" s="196">
        <f>MIN(EC13:EC37)</f>
        <v>0</v>
      </c>
      <c r="ED39" s="196"/>
      <c r="EE39" s="196">
        <f>MIN(EE13:EE37)</f>
        <v>0</v>
      </c>
      <c r="EF39" s="196"/>
      <c r="EG39" s="196">
        <f>MIN(EG13:EG37)</f>
        <v>0</v>
      </c>
      <c r="EH39" s="196"/>
      <c r="EI39" s="196">
        <f>MIN(EI13:EI37)</f>
        <v>0</v>
      </c>
      <c r="EJ39" s="196"/>
      <c r="EK39" s="196">
        <f>MIN(EK13:EK37)</f>
        <v>0</v>
      </c>
      <c r="EL39" s="196"/>
      <c r="EM39" s="196">
        <f>MIN(EM13:EM37)</f>
        <v>0</v>
      </c>
      <c r="EN39" s="196"/>
      <c r="EO39" s="196">
        <f>MIN(EO13:EO37)</f>
        <v>0</v>
      </c>
      <c r="EP39" s="196"/>
      <c r="EQ39" s="196">
        <f>MIN(EQ13:EQ37)</f>
        <v>0</v>
      </c>
      <c r="ER39" s="196"/>
      <c r="ES39" s="196">
        <f>MIN(ES13:ES37)</f>
        <v>18.009967078598223</v>
      </c>
      <c r="ET39" s="196"/>
      <c r="EU39" s="196">
        <f>MIN(EU13:EU37)</f>
        <v>122.27922885788944</v>
      </c>
      <c r="EV39" s="196"/>
      <c r="EW39" s="196">
        <f>MIN(EW13:EW37)</f>
        <v>0</v>
      </c>
      <c r="EX39" s="196"/>
      <c r="EY39" s="196">
        <f>MIN(EY13:EY37)</f>
        <v>5.0000000000000001E-3</v>
      </c>
      <c r="EZ39" s="196"/>
      <c r="FA39" s="196">
        <f>MIN(FA13:FA37)</f>
        <v>1</v>
      </c>
      <c r="FB39" s="196"/>
      <c r="FC39" s="196">
        <f>MIN(FC13:FC37)</f>
        <v>1</v>
      </c>
      <c r="FD39" s="197"/>
      <c r="FE39" s="196"/>
      <c r="FF39" s="196"/>
      <c r="FG39" s="196"/>
      <c r="FH39" s="202"/>
      <c r="FI39"/>
    </row>
    <row r="40" spans="2:166" ht="13.5" thickBot="1">
      <c r="B40" s="203"/>
      <c r="C40" s="204" t="s">
        <v>113</v>
      </c>
      <c r="D40" s="205">
        <f>MAX(D13:D37)</f>
        <v>3600</v>
      </c>
      <c r="E40" s="206"/>
      <c r="F40" s="206">
        <f t="shared" ref="F40:AD40" si="95">MAX(F13:F37)</f>
        <v>116.51300000000001</v>
      </c>
      <c r="G40" s="206"/>
      <c r="H40" s="206">
        <f t="shared" si="95"/>
        <v>117.733</v>
      </c>
      <c r="I40" s="206"/>
      <c r="J40" s="206">
        <f t="shared" si="95"/>
        <v>201.06549999999999</v>
      </c>
      <c r="K40" s="206"/>
      <c r="L40" s="206">
        <f t="shared" si="95"/>
        <v>160.03300000675006</v>
      </c>
      <c r="M40" s="206"/>
      <c r="N40" s="206">
        <f t="shared" si="95"/>
        <v>8600</v>
      </c>
      <c r="O40" s="206"/>
      <c r="P40" s="206">
        <f t="shared" si="95"/>
        <v>150.89148936170213</v>
      </c>
      <c r="Q40" s="206"/>
      <c r="R40" s="206">
        <f t="shared" si="95"/>
        <v>352.9531914893617</v>
      </c>
      <c r="S40" s="206"/>
      <c r="T40" s="206">
        <f t="shared" si="95"/>
        <v>418.58138297872335</v>
      </c>
      <c r="U40" s="206"/>
      <c r="V40" s="206">
        <f t="shared" si="95"/>
        <v>547.20734042553192</v>
      </c>
      <c r="W40" s="206"/>
      <c r="X40" s="206">
        <f t="shared" si="95"/>
        <v>21000</v>
      </c>
      <c r="Y40" s="206"/>
      <c r="Z40" s="206">
        <f t="shared" si="95"/>
        <v>226</v>
      </c>
      <c r="AA40" s="206"/>
      <c r="AB40" s="206">
        <f t="shared" si="95"/>
        <v>713.04849999999999</v>
      </c>
      <c r="AC40" s="206"/>
      <c r="AD40" s="206">
        <f t="shared" si="95"/>
        <v>288.27499999999998</v>
      </c>
      <c r="AE40" s="206"/>
      <c r="AF40" s="207">
        <f>MAX(AF13:AF37)</f>
        <v>845.04499999999996</v>
      </c>
      <c r="AG40" s="207"/>
      <c r="AH40" s="207">
        <f>MAX(AH13:AH37)</f>
        <v>73000</v>
      </c>
      <c r="AI40" s="207"/>
      <c r="AJ40" s="207">
        <f>MAX(AJ13:AJ37)</f>
        <v>700</v>
      </c>
      <c r="AK40" s="207"/>
      <c r="AL40" s="207">
        <f>MAX(AL13:AL37)</f>
        <v>267.2</v>
      </c>
      <c r="AM40" s="207"/>
      <c r="AN40" s="207">
        <f>MAX(AN13:AN37)</f>
        <v>1000</v>
      </c>
      <c r="AO40" s="207"/>
      <c r="AP40" s="207">
        <f>MAX(AP13:AP37)</f>
        <v>267.2</v>
      </c>
      <c r="AQ40" s="207"/>
      <c r="AR40" s="207">
        <f>MAX(AR13:AR37)</f>
        <v>260000</v>
      </c>
      <c r="AS40" s="207"/>
      <c r="AT40" s="207">
        <f>MAX(AT13:AT37)</f>
        <v>18310</v>
      </c>
      <c r="AU40" s="207"/>
      <c r="AV40" s="207">
        <f>MAX(AV13:AV37)</f>
        <v>3666</v>
      </c>
      <c r="AW40" s="207"/>
      <c r="AX40" s="207">
        <f>MAX(AX13:AX37)</f>
        <v>24112</v>
      </c>
      <c r="AY40" s="207"/>
      <c r="AZ40" s="207">
        <f>MAX(AZ13:AZ37)</f>
        <v>4715</v>
      </c>
      <c r="BA40" s="207"/>
      <c r="BB40" s="207">
        <f>MAX(BB13:BB37)</f>
        <v>2.3199999999999998</v>
      </c>
      <c r="BC40" s="207"/>
      <c r="BD40" s="207">
        <f>MAX(BD13:BD37)</f>
        <v>1.8</v>
      </c>
      <c r="BE40" s="208"/>
      <c r="BF40" s="209">
        <f>MAX(BF13:BF37)</f>
        <v>51400</v>
      </c>
      <c r="BG40" s="207"/>
      <c r="BH40" s="207">
        <f>MAX(BH13:BH37)</f>
        <v>94900</v>
      </c>
      <c r="BI40" s="207"/>
      <c r="BJ40" s="207">
        <f>MAX(BJ13:BJ37)</f>
        <v>339000</v>
      </c>
      <c r="BK40" s="207"/>
      <c r="BL40" s="207">
        <f>MAX(BL13:BL37)</f>
        <v>637800</v>
      </c>
      <c r="BM40" s="207"/>
      <c r="BN40" s="207">
        <f>MAX(BN13:BN37)</f>
        <v>449440</v>
      </c>
      <c r="BO40" s="207"/>
      <c r="BP40" s="207">
        <f>MAX(BP13:BP37)</f>
        <v>1293440</v>
      </c>
      <c r="BQ40" s="207"/>
      <c r="BR40" s="207">
        <f>MAX(BR13:BR37)</f>
        <v>267200</v>
      </c>
      <c r="BS40" s="207"/>
      <c r="BT40" s="207">
        <f>MAX(BT13:BT37)</f>
        <v>429700</v>
      </c>
      <c r="BU40" s="207"/>
      <c r="BV40" s="207">
        <f>MAX(BV13:BV37)</f>
        <v>4737</v>
      </c>
      <c r="BW40" s="207"/>
      <c r="BX40" s="207">
        <f>MAX(BX13:BX37)</f>
        <v>9509</v>
      </c>
      <c r="BY40" s="207"/>
      <c r="BZ40" s="207">
        <f>MAX(BZ13:BZ37)</f>
        <v>391.34</v>
      </c>
      <c r="CA40" s="207"/>
      <c r="CB40" s="207">
        <f>MAX(CB13:CB37)</f>
        <v>1222.92</v>
      </c>
      <c r="CC40" s="207"/>
      <c r="CD40" s="207">
        <f>MAX(CD13:CD37)</f>
        <v>5</v>
      </c>
      <c r="CE40" s="207"/>
      <c r="CF40" s="207">
        <f>MAX(CF13:CF37)</f>
        <v>5</v>
      </c>
      <c r="CG40" s="208"/>
      <c r="CH40" s="207">
        <f>MAX(CH13:CH37)</f>
        <v>4.49</v>
      </c>
      <c r="CI40" s="207"/>
      <c r="CJ40" s="207">
        <f>MAX(CJ13:CJ37)</f>
        <v>4.6100000000000003</v>
      </c>
      <c r="CK40" s="207"/>
      <c r="CL40" s="207">
        <f>MAX(CL13:CL37)</f>
        <v>77</v>
      </c>
      <c r="CM40" s="207"/>
      <c r="CN40" s="207">
        <f>MAX(CN13:CN37)</f>
        <v>711</v>
      </c>
      <c r="CO40" s="207"/>
      <c r="CP40" s="207">
        <f>MAX(CP13:CP37)</f>
        <v>643</v>
      </c>
      <c r="CQ40" s="207"/>
      <c r="CR40" s="207">
        <f>MAX(CR13:CR37)</f>
        <v>99.3</v>
      </c>
      <c r="CS40" s="207"/>
      <c r="CT40" s="207">
        <f>MAX(CT13:CT37)</f>
        <v>100</v>
      </c>
      <c r="CU40" s="207"/>
      <c r="CV40" s="207">
        <f>MAX(CV13:CV37)</f>
        <v>41.7</v>
      </c>
      <c r="CW40" s="207"/>
      <c r="CX40" s="207">
        <f>MAX(CX13:CX37)</f>
        <v>40.5</v>
      </c>
      <c r="CY40" s="207"/>
      <c r="CZ40" s="207">
        <f>MAX(CZ13:CZ37)</f>
        <v>19.8</v>
      </c>
      <c r="DA40" s="207"/>
      <c r="DB40" s="207">
        <f>MAX(DB13:DB37)</f>
        <v>20.6</v>
      </c>
      <c r="DC40" s="208"/>
      <c r="DD40" s="209">
        <f>MAX(DD13:DD37)</f>
        <v>168.20599999999999</v>
      </c>
      <c r="DE40" s="207"/>
      <c r="DF40" s="207">
        <f>MAX(DF13:DF37)</f>
        <v>4.2</v>
      </c>
      <c r="DG40" s="207"/>
      <c r="DH40" s="210">
        <f>MAX(DH13:DH37)</f>
        <v>4.5280000000000001E-2</v>
      </c>
      <c r="DI40" s="207"/>
      <c r="DJ40" s="210">
        <f>MAX(DJ13:DJ37)</f>
        <v>0.42799999999999999</v>
      </c>
      <c r="DK40" s="207"/>
      <c r="DL40" s="207">
        <f>MAX(DL13:DL37)</f>
        <v>73.5</v>
      </c>
      <c r="DM40" s="207"/>
      <c r="DN40" s="207">
        <f>MAX(DN13:DN37)</f>
        <v>92.45</v>
      </c>
      <c r="DO40" s="207"/>
      <c r="DP40" s="207">
        <f>MAX(DP13:DP37)</f>
        <v>183</v>
      </c>
      <c r="DQ40" s="207"/>
      <c r="DR40" s="207">
        <f>MAX(DR13:DR37)</f>
        <v>89</v>
      </c>
      <c r="DS40" s="207"/>
      <c r="DT40" s="211">
        <f>MAX(DT13:DT37)</f>
        <v>0.3</v>
      </c>
      <c r="DU40" s="207"/>
      <c r="DV40" s="207">
        <f>MAX(DV13:DV37)</f>
        <v>20.666666666666668</v>
      </c>
      <c r="DW40" s="208"/>
      <c r="DX40" s="212"/>
      <c r="DY40" s="209">
        <f>MAX(DY13:DY37)</f>
        <v>47</v>
      </c>
      <c r="DZ40" s="207"/>
      <c r="EA40" s="207">
        <f>MAX(EA13:EA37)</f>
        <v>255.3</v>
      </c>
      <c r="EB40" s="207"/>
      <c r="EC40" s="207">
        <f>MAX(EC13:EC37)</f>
        <v>4.03</v>
      </c>
      <c r="ED40" s="207"/>
      <c r="EE40" s="207">
        <f>MAX(EE13:EE37)</f>
        <v>39.75</v>
      </c>
      <c r="EF40" s="207"/>
      <c r="EG40" s="207">
        <f>MAX(EG13:EG37)</f>
        <v>2.9569999999999999</v>
      </c>
      <c r="EH40" s="207"/>
      <c r="EI40" s="207">
        <f>MAX(EI13:EI37)</f>
        <v>24.053000000000001</v>
      </c>
      <c r="EJ40" s="207"/>
      <c r="EK40" s="207">
        <f>MAX(EK13:EK37)</f>
        <v>14.41</v>
      </c>
      <c r="EL40" s="207"/>
      <c r="EM40" s="207">
        <f>MAX(EM13:EM37)</f>
        <v>21.96</v>
      </c>
      <c r="EN40" s="207"/>
      <c r="EO40" s="207">
        <f>MAX(EO13:EO37)</f>
        <v>4.3647325986689678</v>
      </c>
      <c r="EP40" s="207"/>
      <c r="EQ40" s="207">
        <f>MAX(EQ13:EQ37)</f>
        <v>36.53</v>
      </c>
      <c r="ER40" s="207"/>
      <c r="ES40" s="207">
        <f>MAX(ES13:ES37)</f>
        <v>78.607313818343613</v>
      </c>
      <c r="ET40" s="207"/>
      <c r="EU40" s="207">
        <f>MAX(EU13:EU37)</f>
        <v>402.60398426142297</v>
      </c>
      <c r="EV40" s="207"/>
      <c r="EW40" s="207">
        <f>MAX(EW13:EW37)</f>
        <v>71.893732598668961</v>
      </c>
      <c r="EX40" s="207"/>
      <c r="EY40" s="207">
        <f>MAX(EY13:EY37)</f>
        <v>368.38</v>
      </c>
      <c r="EZ40" s="207"/>
      <c r="FA40" s="207">
        <f>MAX(FA13:FA37)</f>
        <v>14</v>
      </c>
      <c r="FB40" s="207"/>
      <c r="FC40" s="207">
        <f>MAX(FC13:FC37)</f>
        <v>15</v>
      </c>
      <c r="FD40" s="208"/>
      <c r="FE40" s="213"/>
      <c r="FF40" s="213"/>
      <c r="FG40" s="213"/>
      <c r="FH40" s="214"/>
      <c r="FI40"/>
    </row>
    <row r="41" spans="2:166">
      <c r="B41" s="95" t="s">
        <v>175</v>
      </c>
      <c r="C41" s="95">
        <v>1</v>
      </c>
      <c r="D41" s="95">
        <v>1</v>
      </c>
      <c r="F41" s="95">
        <v>1</v>
      </c>
      <c r="H41" s="95">
        <v>1</v>
      </c>
      <c r="J41" s="95">
        <v>1</v>
      </c>
      <c r="L41" s="95">
        <v>1</v>
      </c>
      <c r="N41" s="95">
        <v>1</v>
      </c>
      <c r="P41" s="95">
        <v>1</v>
      </c>
      <c r="R41" s="95">
        <v>1</v>
      </c>
      <c r="T41" s="95">
        <v>1</v>
      </c>
      <c r="V41" s="95">
        <v>1</v>
      </c>
      <c r="X41" s="95">
        <v>1</v>
      </c>
      <c r="Z41" s="95">
        <v>1</v>
      </c>
      <c r="AB41" s="95">
        <v>1</v>
      </c>
      <c r="AD41" s="95">
        <v>1</v>
      </c>
      <c r="AF41" s="95">
        <v>1</v>
      </c>
      <c r="AH41" s="95">
        <v>1</v>
      </c>
      <c r="AJ41" s="95">
        <v>1</v>
      </c>
      <c r="AL41" s="95">
        <v>1</v>
      </c>
      <c r="AN41" s="95">
        <v>1</v>
      </c>
      <c r="AP41" s="95">
        <v>1</v>
      </c>
      <c r="AR41" s="95">
        <v>1</v>
      </c>
      <c r="AT41" s="95">
        <v>1</v>
      </c>
      <c r="AV41" s="95">
        <v>1</v>
      </c>
      <c r="AX41" s="95">
        <v>1</v>
      </c>
      <c r="AZ41" s="95">
        <v>1</v>
      </c>
      <c r="BF41" s="95">
        <v>999</v>
      </c>
      <c r="BH41" s="95">
        <v>999</v>
      </c>
      <c r="BJ41" s="95">
        <v>9999</v>
      </c>
      <c r="BL41" s="95">
        <v>9999</v>
      </c>
      <c r="BN41" s="95">
        <v>999</v>
      </c>
      <c r="BP41" s="95">
        <v>999</v>
      </c>
      <c r="BR41" s="95">
        <v>999</v>
      </c>
      <c r="BT41" s="95">
        <v>999</v>
      </c>
      <c r="BV41" s="95">
        <v>99</v>
      </c>
      <c r="BX41" s="95">
        <v>99</v>
      </c>
      <c r="BZ41" s="95">
        <v>0.99</v>
      </c>
      <c r="CB41" s="95">
        <v>14.99</v>
      </c>
      <c r="EW41" s="95">
        <v>0.9</v>
      </c>
      <c r="EY41" s="95">
        <v>9</v>
      </c>
      <c r="FI41"/>
    </row>
    <row r="42" spans="2:166">
      <c r="C42" s="95">
        <v>2</v>
      </c>
      <c r="D42" s="95">
        <v>100</v>
      </c>
      <c r="F42" s="95">
        <v>30</v>
      </c>
      <c r="H42" s="95">
        <v>30</v>
      </c>
      <c r="J42" s="95">
        <v>30</v>
      </c>
      <c r="L42" s="95">
        <v>30</v>
      </c>
      <c r="N42" s="95">
        <v>1000</v>
      </c>
      <c r="P42" s="95">
        <v>30</v>
      </c>
      <c r="R42" s="95">
        <v>70</v>
      </c>
      <c r="T42" s="95">
        <v>30</v>
      </c>
      <c r="V42" s="95">
        <v>70</v>
      </c>
      <c r="X42" s="95">
        <v>4000</v>
      </c>
      <c r="Z42" s="95">
        <v>40</v>
      </c>
      <c r="AB42" s="95">
        <v>150</v>
      </c>
      <c r="AD42" s="95">
        <v>40</v>
      </c>
      <c r="AF42" s="95">
        <v>150</v>
      </c>
      <c r="AH42" s="95">
        <v>10000</v>
      </c>
      <c r="AJ42" s="95">
        <v>150</v>
      </c>
      <c r="AL42" s="95">
        <v>50</v>
      </c>
      <c r="AN42" s="95">
        <v>150</v>
      </c>
      <c r="AP42" s="95">
        <v>50</v>
      </c>
      <c r="AR42" s="95">
        <v>5000</v>
      </c>
      <c r="AT42" s="95">
        <v>3000</v>
      </c>
      <c r="AV42" s="95">
        <v>500</v>
      </c>
      <c r="AX42" s="95">
        <v>3000</v>
      </c>
      <c r="AZ42" s="95">
        <v>500</v>
      </c>
      <c r="BF42" s="95">
        <v>4999</v>
      </c>
      <c r="BH42" s="95">
        <v>4999</v>
      </c>
      <c r="BJ42" s="95">
        <v>49999</v>
      </c>
      <c r="BL42" s="95">
        <v>49000</v>
      </c>
      <c r="BN42" s="95">
        <v>9999</v>
      </c>
      <c r="BP42" s="95">
        <v>49999</v>
      </c>
      <c r="BR42" s="95">
        <v>9999</v>
      </c>
      <c r="BT42" s="95">
        <v>9999</v>
      </c>
      <c r="BV42" s="95">
        <v>249</v>
      </c>
      <c r="BX42" s="95">
        <v>249</v>
      </c>
      <c r="BZ42" s="95">
        <v>9</v>
      </c>
      <c r="CB42" s="95">
        <v>49</v>
      </c>
      <c r="EW42" s="95">
        <v>9</v>
      </c>
      <c r="EY42" s="95">
        <v>49</v>
      </c>
    </row>
    <row r="43" spans="2:166">
      <c r="C43" s="95">
        <v>3</v>
      </c>
      <c r="D43" s="95">
        <v>1000</v>
      </c>
      <c r="F43" s="95">
        <v>60</v>
      </c>
      <c r="H43" s="95">
        <v>60</v>
      </c>
      <c r="J43" s="95">
        <v>60</v>
      </c>
      <c r="L43" s="95">
        <v>60</v>
      </c>
      <c r="N43" s="95">
        <v>3000</v>
      </c>
      <c r="P43" s="95">
        <v>50</v>
      </c>
      <c r="R43" s="95">
        <v>150</v>
      </c>
      <c r="T43" s="95">
        <v>50</v>
      </c>
      <c r="V43" s="95">
        <v>150</v>
      </c>
      <c r="X43" s="95">
        <v>7000</v>
      </c>
      <c r="Z43" s="95">
        <v>70</v>
      </c>
      <c r="AB43" s="95">
        <v>300</v>
      </c>
      <c r="AD43" s="95">
        <v>70</v>
      </c>
      <c r="AF43" s="95">
        <v>300</v>
      </c>
      <c r="AH43" s="95">
        <v>30000</v>
      </c>
      <c r="AJ43" s="95">
        <v>300</v>
      </c>
      <c r="AL43" s="95">
        <v>100</v>
      </c>
      <c r="AN43" s="95">
        <v>300</v>
      </c>
      <c r="AP43" s="95">
        <v>100</v>
      </c>
      <c r="AR43" s="95">
        <v>10000</v>
      </c>
      <c r="AT43" s="95">
        <v>8000</v>
      </c>
      <c r="AV43" s="95">
        <v>1500</v>
      </c>
      <c r="AX43" s="95">
        <v>8000</v>
      </c>
      <c r="AZ43" s="95">
        <v>1500</v>
      </c>
      <c r="BF43" s="95">
        <v>9999</v>
      </c>
      <c r="BH43" s="95">
        <v>9999</v>
      </c>
      <c r="BJ43" s="95">
        <v>99999</v>
      </c>
      <c r="BL43" s="95">
        <v>99999</v>
      </c>
      <c r="BN43" s="95">
        <v>99999</v>
      </c>
      <c r="BP43" s="95">
        <v>249999</v>
      </c>
      <c r="BR43" s="95">
        <v>99999</v>
      </c>
      <c r="BT43" s="95">
        <v>99999</v>
      </c>
      <c r="BV43" s="95">
        <v>499</v>
      </c>
      <c r="BX43" s="95">
        <v>499</v>
      </c>
      <c r="BZ43" s="95">
        <v>49</v>
      </c>
      <c r="CB43" s="95">
        <v>99</v>
      </c>
      <c r="EW43" s="95">
        <v>24</v>
      </c>
      <c r="EY43" s="95">
        <v>99</v>
      </c>
    </row>
    <row r="44" spans="2:166">
      <c r="C44" s="95">
        <v>4</v>
      </c>
      <c r="D44" s="95">
        <v>2999</v>
      </c>
      <c r="F44" s="95">
        <v>109</v>
      </c>
      <c r="H44" s="95">
        <v>109</v>
      </c>
      <c r="J44" s="95">
        <v>109</v>
      </c>
      <c r="L44" s="95">
        <v>109</v>
      </c>
      <c r="N44" s="95">
        <v>7999</v>
      </c>
      <c r="P44" s="95">
        <v>119</v>
      </c>
      <c r="R44" s="95">
        <v>299</v>
      </c>
      <c r="T44" s="95">
        <v>119</v>
      </c>
      <c r="V44" s="95">
        <v>299</v>
      </c>
      <c r="X44" s="95">
        <v>14999</v>
      </c>
      <c r="Z44" s="95">
        <v>179</v>
      </c>
      <c r="AB44" s="95">
        <v>679</v>
      </c>
      <c r="AD44" s="95">
        <v>179</v>
      </c>
      <c r="AF44" s="95">
        <v>679</v>
      </c>
      <c r="AH44" s="95">
        <v>59999</v>
      </c>
      <c r="AJ44" s="95">
        <v>699</v>
      </c>
      <c r="AL44" s="95">
        <v>199</v>
      </c>
      <c r="AN44" s="95">
        <v>699</v>
      </c>
      <c r="AP44" s="95">
        <v>199</v>
      </c>
      <c r="AR44" s="95">
        <v>199999</v>
      </c>
      <c r="AT44" s="95">
        <v>17799</v>
      </c>
      <c r="AV44" s="95">
        <v>2999</v>
      </c>
      <c r="AX44" s="95">
        <v>17799</v>
      </c>
      <c r="AZ44" s="95">
        <v>2999</v>
      </c>
      <c r="BF44" s="95">
        <v>24999</v>
      </c>
      <c r="BH44" s="95">
        <v>24999</v>
      </c>
      <c r="BJ44" s="95">
        <v>249999</v>
      </c>
      <c r="BL44" s="95">
        <v>249999</v>
      </c>
      <c r="BN44" s="95">
        <v>249999</v>
      </c>
      <c r="BP44" s="95">
        <v>499999</v>
      </c>
      <c r="BR44" s="95">
        <v>249999</v>
      </c>
      <c r="BT44" s="95">
        <v>249999</v>
      </c>
      <c r="BV44" s="95">
        <v>999</v>
      </c>
      <c r="BX44" s="95">
        <v>1499</v>
      </c>
      <c r="BZ44" s="95">
        <v>99</v>
      </c>
      <c r="CB44" s="95">
        <v>499</v>
      </c>
      <c r="EW44" s="95">
        <v>49</v>
      </c>
      <c r="EY44" s="95">
        <v>249</v>
      </c>
    </row>
    <row r="45" spans="2:166">
      <c r="B45" s="95" t="s">
        <v>176</v>
      </c>
      <c r="C45" s="95">
        <v>5</v>
      </c>
      <c r="D45" s="95">
        <v>3000</v>
      </c>
      <c r="F45" s="95">
        <v>110</v>
      </c>
      <c r="H45" s="95">
        <v>110</v>
      </c>
      <c r="J45" s="95">
        <v>110</v>
      </c>
      <c r="L45" s="95">
        <v>110</v>
      </c>
      <c r="N45" s="95">
        <v>8000</v>
      </c>
      <c r="P45" s="95">
        <v>120</v>
      </c>
      <c r="R45" s="95">
        <v>300</v>
      </c>
      <c r="T45" s="95">
        <v>120</v>
      </c>
      <c r="V45" s="95">
        <v>300</v>
      </c>
      <c r="X45" s="95">
        <v>15000</v>
      </c>
      <c r="Z45" s="95">
        <v>180</v>
      </c>
      <c r="AB45" s="95">
        <v>680</v>
      </c>
      <c r="AD45" s="95">
        <v>180</v>
      </c>
      <c r="AF45" s="95">
        <v>680</v>
      </c>
      <c r="AH45" s="95">
        <v>60000</v>
      </c>
      <c r="AJ45" s="95">
        <v>700</v>
      </c>
      <c r="AL45" s="95">
        <v>200</v>
      </c>
      <c r="AN45" s="95">
        <v>700</v>
      </c>
      <c r="AP45" s="95">
        <v>200</v>
      </c>
      <c r="AR45" s="95">
        <v>200000</v>
      </c>
      <c r="AT45" s="95">
        <v>17800</v>
      </c>
      <c r="AV45" s="95">
        <v>3000</v>
      </c>
      <c r="AX45" s="95">
        <v>17800</v>
      </c>
      <c r="AZ45" s="95">
        <v>3000</v>
      </c>
      <c r="BF45" s="95">
        <v>25000</v>
      </c>
      <c r="BH45" s="95">
        <v>25000</v>
      </c>
      <c r="BJ45" s="95">
        <v>250000</v>
      </c>
      <c r="BL45" s="95">
        <v>250000</v>
      </c>
      <c r="BN45" s="95">
        <v>250000</v>
      </c>
      <c r="BP45" s="95">
        <v>500000</v>
      </c>
      <c r="BR45" s="95">
        <v>250000</v>
      </c>
      <c r="BT45" s="95">
        <v>250000</v>
      </c>
      <c r="BV45" s="95">
        <v>1000</v>
      </c>
      <c r="BX45" s="95">
        <v>1500</v>
      </c>
      <c r="BZ45" s="95">
        <v>100</v>
      </c>
      <c r="CB45" s="95">
        <v>500</v>
      </c>
      <c r="EW45" s="95">
        <v>50</v>
      </c>
      <c r="EY45" s="95">
        <v>250</v>
      </c>
    </row>
    <row r="47" spans="2:166">
      <c r="B47" s="95" t="s">
        <v>79</v>
      </c>
      <c r="C47" s="77">
        <f>IF($D$52&lt;&gt;1,E47,D47)</f>
        <v>0.25</v>
      </c>
      <c r="D47" s="110">
        <f>'Ranking - OLD'!G34</f>
        <v>0.25</v>
      </c>
      <c r="E47" s="110">
        <v>0.2</v>
      </c>
      <c r="BV47" s="219"/>
      <c r="BW47" s="219"/>
    </row>
    <row r="48" spans="2:166">
      <c r="B48" s="95" t="s">
        <v>173</v>
      </c>
      <c r="C48" s="77">
        <f t="shared" ref="C48:C51" si="96">IF($D$52&lt;&gt;1,E48,D48)</f>
        <v>0.15</v>
      </c>
      <c r="D48" s="110">
        <f>'Ranking - OLD'!G35</f>
        <v>0.15</v>
      </c>
      <c r="E48" s="110">
        <v>0.2</v>
      </c>
      <c r="BV48" s="220"/>
      <c r="BW48" s="220"/>
    </row>
    <row r="49" spans="2:75">
      <c r="B49" s="95" t="s">
        <v>80</v>
      </c>
      <c r="C49" s="77">
        <f t="shared" si="96"/>
        <v>0.2</v>
      </c>
      <c r="D49" s="110">
        <f>'Ranking - OLD'!G36</f>
        <v>0.2</v>
      </c>
      <c r="E49" s="110">
        <v>0.2</v>
      </c>
      <c r="BV49" s="77"/>
      <c r="BW49" s="77"/>
    </row>
    <row r="50" spans="2:75">
      <c r="B50" s="95" t="s">
        <v>174</v>
      </c>
      <c r="C50" s="77">
        <f t="shared" si="96"/>
        <v>0.2</v>
      </c>
      <c r="D50" s="110">
        <f>'Ranking - OLD'!G37</f>
        <v>0.2</v>
      </c>
      <c r="E50" s="110">
        <v>0.2</v>
      </c>
    </row>
    <row r="51" spans="2:75">
      <c r="B51" s="95" t="s">
        <v>68</v>
      </c>
      <c r="C51" s="77">
        <f t="shared" si="96"/>
        <v>0.2</v>
      </c>
      <c r="D51" s="110">
        <f>'Ranking - OLD'!G38</f>
        <v>0.2</v>
      </c>
      <c r="E51" s="110">
        <v>0.2</v>
      </c>
    </row>
    <row r="52" spans="2:75">
      <c r="B52" s="111" t="s">
        <v>4</v>
      </c>
      <c r="C52" s="112">
        <f>SUM(C47:C51)</f>
        <v>1</v>
      </c>
      <c r="D52" s="112">
        <f>SUM(D47:D51)</f>
        <v>1</v>
      </c>
      <c r="E52" s="112">
        <v>1</v>
      </c>
    </row>
    <row r="54" spans="2:75">
      <c r="B54" s="21" t="s">
        <v>253</v>
      </c>
      <c r="C54" s="21"/>
    </row>
    <row r="55" spans="2:75">
      <c r="B55" s="21" t="s">
        <v>34</v>
      </c>
      <c r="C55" s="77">
        <f>IF($D$60&lt;&gt;1,E55,D55)</f>
        <v>0.2</v>
      </c>
      <c r="D55" s="110">
        <f>'Ranking - OLD'!D9</f>
        <v>0.2</v>
      </c>
      <c r="E55" s="215">
        <v>0.2</v>
      </c>
    </row>
    <row r="56" spans="2:75">
      <c r="B56" s="21" t="s">
        <v>33</v>
      </c>
      <c r="C56" s="77">
        <f t="shared" ref="C56:C59" si="97">IF($D$60&lt;&gt;1,E56,D56)</f>
        <v>0.2</v>
      </c>
      <c r="D56" s="110">
        <f>'Ranking - OLD'!D10</f>
        <v>0.2</v>
      </c>
      <c r="E56" s="215">
        <v>0.2</v>
      </c>
    </row>
    <row r="57" spans="2:75">
      <c r="B57" s="21" t="s">
        <v>35</v>
      </c>
      <c r="C57" s="77">
        <f t="shared" si="97"/>
        <v>0.2</v>
      </c>
      <c r="D57" s="110">
        <f>'Ranking - OLD'!D11</f>
        <v>0.2</v>
      </c>
      <c r="E57" s="215">
        <v>0.2</v>
      </c>
    </row>
    <row r="58" spans="2:75">
      <c r="B58" s="21" t="s">
        <v>37</v>
      </c>
      <c r="C58" s="77">
        <f t="shared" si="97"/>
        <v>0.2</v>
      </c>
      <c r="D58" s="110">
        <f>'Ranking - OLD'!D12</f>
        <v>0.2</v>
      </c>
      <c r="E58" s="215">
        <v>0.2</v>
      </c>
    </row>
    <row r="59" spans="2:75">
      <c r="B59" s="21" t="s">
        <v>36</v>
      </c>
      <c r="C59" s="77">
        <f t="shared" si="97"/>
        <v>0.2</v>
      </c>
      <c r="D59" s="110">
        <f>'Ranking - OLD'!D13</f>
        <v>0.2</v>
      </c>
      <c r="E59" s="215">
        <v>0.2</v>
      </c>
    </row>
    <row r="60" spans="2:75">
      <c r="B60" s="111" t="s">
        <v>4</v>
      </c>
      <c r="C60" s="112">
        <f>SUM(C55:C59)</f>
        <v>1</v>
      </c>
      <c r="D60" s="112">
        <f>SUM(D55:D59)</f>
        <v>1</v>
      </c>
      <c r="E60" s="112">
        <f>SUM(E55:E59)</f>
        <v>1</v>
      </c>
    </row>
    <row r="70" spans="2:5">
      <c r="D70" s="95" t="str">
        <f>str_Indicator</f>
        <v>Cobalt</v>
      </c>
    </row>
    <row r="72" spans="2:5">
      <c r="D72" s="95" t="s">
        <v>210</v>
      </c>
      <c r="E72" s="95" t="s">
        <v>218</v>
      </c>
    </row>
    <row r="73" spans="2:5">
      <c r="B73" s="95">
        <v>1</v>
      </c>
      <c r="C73" s="95" t="str">
        <f>Dict!A11</f>
        <v>Czech Republic</v>
      </c>
      <c r="D73" s="95">
        <f ca="1">OFFSET(INDIRECT(data_sheet),$B73,int_Indicator_Column,1,1)</f>
        <v>0</v>
      </c>
      <c r="E73" s="95">
        <f t="shared" ref="E73:E102" ca="1" si="98">OFFSET(INDIRECT(data_sheet),$B73,int_Ranking_Column,1,1)</f>
        <v>15</v>
      </c>
    </row>
    <row r="74" spans="2:5">
      <c r="B74" s="95">
        <f>B73+1</f>
        <v>2</v>
      </c>
      <c r="C74" s="95" t="str">
        <f>Dict!A12</f>
        <v>Finland</v>
      </c>
      <c r="D74" s="95">
        <f t="shared" ref="D74:D102" ca="1" si="99">OFFSET(INDIRECT(data_sheet),$B74,int_Indicator_Column,1,1)</f>
        <v>100</v>
      </c>
      <c r="E74" s="95">
        <f t="shared" ca="1" si="98"/>
        <v>7</v>
      </c>
    </row>
    <row r="75" spans="2:5">
      <c r="B75" s="95">
        <f t="shared" ref="B75:B96" si="100">B74+1</f>
        <v>3</v>
      </c>
      <c r="C75" s="95" t="str">
        <f>Dict!A13</f>
        <v>France</v>
      </c>
      <c r="D75" s="95">
        <f t="shared" ca="1" si="99"/>
        <v>0</v>
      </c>
      <c r="E75" s="95">
        <f t="shared" ca="1" si="98"/>
        <v>15</v>
      </c>
    </row>
    <row r="76" spans="2:5">
      <c r="B76" s="95">
        <f t="shared" si="100"/>
        <v>4</v>
      </c>
      <c r="C76" s="95" t="str">
        <f>Dict!A14</f>
        <v>Germany</v>
      </c>
      <c r="D76" s="95">
        <f t="shared" ca="1" si="99"/>
        <v>0</v>
      </c>
      <c r="E76" s="95">
        <f t="shared" ca="1" si="98"/>
        <v>15</v>
      </c>
    </row>
    <row r="77" spans="2:5">
      <c r="B77" s="95">
        <f t="shared" si="100"/>
        <v>5</v>
      </c>
      <c r="C77" s="95" t="str">
        <f>Dict!A15</f>
        <v>Hungary</v>
      </c>
      <c r="D77" s="95">
        <f t="shared" ca="1" si="99"/>
        <v>0</v>
      </c>
      <c r="E77" s="95">
        <f t="shared" ca="1" si="98"/>
        <v>15</v>
      </c>
    </row>
    <row r="78" spans="2:5">
      <c r="B78" s="95">
        <f t="shared" si="100"/>
        <v>6</v>
      </c>
      <c r="C78" s="95" t="str">
        <f>Dict!A16</f>
        <v>Norway</v>
      </c>
      <c r="D78" s="95">
        <f t="shared" ca="1" si="99"/>
        <v>0</v>
      </c>
      <c r="E78" s="95">
        <f t="shared" ca="1" si="98"/>
        <v>15</v>
      </c>
    </row>
    <row r="79" spans="2:5">
      <c r="B79" s="95">
        <f t="shared" si="100"/>
        <v>7</v>
      </c>
      <c r="C79" s="95" t="str">
        <f>Dict!A17</f>
        <v>Poland</v>
      </c>
      <c r="D79" s="95">
        <f t="shared" ca="1" si="99"/>
        <v>0</v>
      </c>
      <c r="E79" s="95">
        <f t="shared" ca="1" si="98"/>
        <v>15</v>
      </c>
    </row>
    <row r="80" spans="2:5">
      <c r="B80" s="95">
        <f t="shared" si="100"/>
        <v>8</v>
      </c>
      <c r="C80" s="95" t="str">
        <f>Dict!A18</f>
        <v>Slovakia</v>
      </c>
      <c r="D80" s="95">
        <f t="shared" ca="1" si="99"/>
        <v>0</v>
      </c>
      <c r="E80" s="95">
        <f t="shared" ca="1" si="98"/>
        <v>15</v>
      </c>
    </row>
    <row r="81" spans="2:5">
      <c r="B81" s="95">
        <f t="shared" si="100"/>
        <v>9</v>
      </c>
      <c r="C81" s="95" t="str">
        <f>Dict!A19</f>
        <v>Sweden</v>
      </c>
      <c r="D81" s="95">
        <f t="shared" ca="1" si="99"/>
        <v>0</v>
      </c>
      <c r="E81" s="95">
        <f t="shared" ca="1" si="98"/>
        <v>15</v>
      </c>
    </row>
    <row r="82" spans="2:5">
      <c r="B82" s="95">
        <f t="shared" si="100"/>
        <v>10</v>
      </c>
      <c r="C82" s="95" t="str">
        <f>Dict!A20</f>
        <v>Turkey</v>
      </c>
      <c r="D82" s="95">
        <f t="shared" ca="1" si="99"/>
        <v>36</v>
      </c>
      <c r="E82" s="95">
        <f t="shared" ca="1" si="98"/>
        <v>10</v>
      </c>
    </row>
    <row r="83" spans="2:5">
      <c r="B83" s="95">
        <f t="shared" si="100"/>
        <v>11</v>
      </c>
      <c r="C83" s="95" t="str">
        <f>Dict!A21</f>
        <v>UK</v>
      </c>
      <c r="D83" s="95">
        <f t="shared" ca="1" si="99"/>
        <v>0</v>
      </c>
      <c r="E83" s="95">
        <f t="shared" ca="1" si="98"/>
        <v>15</v>
      </c>
    </row>
    <row r="84" spans="2:5">
      <c r="B84" s="95">
        <f t="shared" si="100"/>
        <v>12</v>
      </c>
      <c r="C84" s="95" t="str">
        <f>Dict!A22</f>
        <v>DRC</v>
      </c>
      <c r="D84" s="95">
        <f t="shared" ca="1" si="99"/>
        <v>4000</v>
      </c>
      <c r="E84" s="95">
        <f t="shared" ca="1" si="98"/>
        <v>1</v>
      </c>
    </row>
    <row r="85" spans="2:5">
      <c r="B85" s="95">
        <f t="shared" si="100"/>
        <v>13</v>
      </c>
      <c r="C85" s="95" t="str">
        <f>Dict!A23</f>
        <v>Morocco</v>
      </c>
      <c r="D85" s="95">
        <f t="shared" ca="1" si="99"/>
        <v>13</v>
      </c>
      <c r="E85" s="95">
        <f t="shared" ca="1" si="98"/>
        <v>11</v>
      </c>
    </row>
    <row r="86" spans="2:5">
      <c r="B86" s="95">
        <f t="shared" si="100"/>
        <v>14</v>
      </c>
      <c r="C86" s="95" t="str">
        <f>Dict!A24</f>
        <v>South Africa</v>
      </c>
      <c r="D86" s="95">
        <f t="shared" ca="1" si="99"/>
        <v>50</v>
      </c>
      <c r="E86" s="95">
        <f t="shared" ca="1" si="98"/>
        <v>9</v>
      </c>
    </row>
    <row r="87" spans="2:5">
      <c r="B87" s="95">
        <f t="shared" si="100"/>
        <v>15</v>
      </c>
      <c r="C87" s="95" t="str">
        <f>Dict!A25</f>
        <v>Canada</v>
      </c>
      <c r="D87" s="95">
        <f t="shared" ca="1" si="99"/>
        <v>220</v>
      </c>
      <c r="E87" s="95">
        <f t="shared" ca="1" si="98"/>
        <v>5</v>
      </c>
    </row>
    <row r="88" spans="2:5">
      <c r="B88" s="95">
        <f t="shared" si="100"/>
        <v>16</v>
      </c>
      <c r="C88" s="95" t="str">
        <f>Dict!A26</f>
        <v>Mexico</v>
      </c>
      <c r="D88" s="95">
        <f t="shared" ca="1" si="99"/>
        <v>10</v>
      </c>
      <c r="E88" s="95">
        <f t="shared" ca="1" si="98"/>
        <v>12</v>
      </c>
    </row>
    <row r="89" spans="2:5">
      <c r="B89" s="95">
        <f t="shared" si="100"/>
        <v>17</v>
      </c>
      <c r="C89" s="95" t="str">
        <f>Dict!A27</f>
        <v>US</v>
      </c>
      <c r="D89" s="95">
        <f t="shared" ca="1" si="99"/>
        <v>69</v>
      </c>
      <c r="E89" s="95">
        <f t="shared" ca="1" si="98"/>
        <v>8</v>
      </c>
    </row>
    <row r="90" spans="2:5">
      <c r="B90" s="95">
        <f t="shared" si="100"/>
        <v>18</v>
      </c>
      <c r="C90" s="95" t="str">
        <f>Dict!A28</f>
        <v>Argentina</v>
      </c>
      <c r="D90" s="95">
        <f t="shared" ca="1" si="99"/>
        <v>0</v>
      </c>
      <c r="E90" s="95">
        <f t="shared" ca="1" si="98"/>
        <v>15</v>
      </c>
    </row>
    <row r="91" spans="2:5">
      <c r="B91" s="95">
        <f t="shared" si="100"/>
        <v>19</v>
      </c>
      <c r="C91" s="95" t="str">
        <f>Dict!A29</f>
        <v>Bolivia</v>
      </c>
      <c r="D91" s="95">
        <f t="shared" ca="1" si="99"/>
        <v>0</v>
      </c>
      <c r="E91" s="95">
        <f t="shared" ca="1" si="98"/>
        <v>15</v>
      </c>
    </row>
    <row r="92" spans="2:5">
      <c r="B92" s="95">
        <f t="shared" si="100"/>
        <v>20</v>
      </c>
      <c r="C92" s="95" t="str">
        <f>Dict!A30</f>
        <v>Brazil</v>
      </c>
      <c r="D92" s="95">
        <f t="shared" ca="1" si="99"/>
        <v>10</v>
      </c>
      <c r="E92" s="95">
        <f t="shared" ca="1" si="98"/>
        <v>12</v>
      </c>
    </row>
    <row r="93" spans="2:5">
      <c r="B93" s="95">
        <f t="shared" si="100"/>
        <v>21</v>
      </c>
      <c r="C93" s="95" t="str">
        <f>Dict!A31</f>
        <v>Chile</v>
      </c>
      <c r="D93" s="95">
        <f t="shared" ca="1" si="99"/>
        <v>0.5</v>
      </c>
      <c r="E93" s="95">
        <f t="shared" ca="1" si="98"/>
        <v>14</v>
      </c>
    </row>
    <row r="94" spans="2:5">
      <c r="B94" s="95">
        <f t="shared" si="100"/>
        <v>22</v>
      </c>
      <c r="C94" s="95" t="str">
        <f>Dict!A32</f>
        <v>China</v>
      </c>
      <c r="D94" s="95">
        <f t="shared" ca="1" si="99"/>
        <v>140</v>
      </c>
      <c r="E94" s="95">
        <f t="shared" ca="1" si="98"/>
        <v>6</v>
      </c>
    </row>
    <row r="95" spans="2:5">
      <c r="B95" s="95">
        <f t="shared" si="100"/>
        <v>23</v>
      </c>
      <c r="C95" s="95" t="str">
        <f>Dict!A33</f>
        <v>Japan</v>
      </c>
      <c r="D95" s="95">
        <f t="shared" ca="1" si="99"/>
        <v>0</v>
      </c>
      <c r="E95" s="95">
        <f t="shared" ca="1" si="98"/>
        <v>15</v>
      </c>
    </row>
    <row r="96" spans="2:5">
      <c r="B96" s="95">
        <f t="shared" si="100"/>
        <v>24</v>
      </c>
      <c r="C96" s="95" t="str">
        <f>Dict!A34</f>
        <v>South Korea</v>
      </c>
      <c r="D96" s="95">
        <f t="shared" ca="1" si="99"/>
        <v>0</v>
      </c>
      <c r="E96" s="95">
        <f t="shared" ca="1" si="98"/>
        <v>15</v>
      </c>
    </row>
    <row r="97" spans="2:5">
      <c r="B97" s="95">
        <f t="shared" ref="B97:B102" si="101">B96+1</f>
        <v>25</v>
      </c>
      <c r="C97" s="95" t="str">
        <f>Dict!A35</f>
        <v>Australia</v>
      </c>
      <c r="D97" s="95">
        <f t="shared" ca="1" si="99"/>
        <v>1500</v>
      </c>
      <c r="E97" s="95">
        <f t="shared" ca="1" si="98"/>
        <v>2</v>
      </c>
    </row>
    <row r="98" spans="2:5">
      <c r="B98" s="95">
        <f t="shared" si="101"/>
        <v>26</v>
      </c>
      <c r="C98" s="95" t="str">
        <f>Dict!A36</f>
        <v>India</v>
      </c>
      <c r="D98" s="95">
        <f t="shared" ca="1" si="99"/>
        <v>0</v>
      </c>
      <c r="E98" s="95">
        <f t="shared" ca="1" si="98"/>
        <v>15</v>
      </c>
    </row>
    <row r="99" spans="2:5">
      <c r="B99" s="95">
        <f t="shared" si="101"/>
        <v>27</v>
      </c>
      <c r="C99" s="95" t="str">
        <f>Dict!A37</f>
        <v>Indonesia</v>
      </c>
      <c r="D99" s="95">
        <f t="shared" ca="1" si="99"/>
        <v>600</v>
      </c>
      <c r="E99" s="95">
        <f t="shared" ca="1" si="98"/>
        <v>3</v>
      </c>
    </row>
    <row r="100" spans="2:5">
      <c r="B100" s="95">
        <f t="shared" si="101"/>
        <v>28</v>
      </c>
      <c r="C100" s="95" t="str">
        <f>Dict!A38</f>
        <v>Philippines</v>
      </c>
      <c r="D100" s="95">
        <f t="shared" ca="1" si="99"/>
        <v>260</v>
      </c>
      <c r="E100" s="95">
        <f t="shared" ca="1" si="98"/>
        <v>4</v>
      </c>
    </row>
    <row r="101" spans="2:5">
      <c r="B101" s="95">
        <f t="shared" si="101"/>
        <v>29</v>
      </c>
      <c r="C101" s="95" t="str">
        <f>Dict!A39</f>
        <v>Thailand</v>
      </c>
      <c r="D101" s="95">
        <f t="shared" ca="1" si="99"/>
        <v>0</v>
      </c>
      <c r="E101" s="95">
        <f t="shared" ca="1" si="98"/>
        <v>15</v>
      </c>
    </row>
    <row r="102" spans="2:5">
      <c r="B102" s="95">
        <f t="shared" si="101"/>
        <v>30</v>
      </c>
      <c r="C102" s="95" t="str">
        <f>Dict!A40</f>
        <v>Vietnam</v>
      </c>
      <c r="D102" s="95">
        <f t="shared" ca="1" si="99"/>
        <v>0</v>
      </c>
      <c r="E102" s="95">
        <f t="shared" ca="1" si="98"/>
        <v>15</v>
      </c>
    </row>
  </sheetData>
  <sheetProtection formatCells="0"/>
  <mergeCells count="134">
    <mergeCell ref="N10:S10"/>
    <mergeCell ref="J10:M10"/>
    <mergeCell ref="D10:I10"/>
    <mergeCell ref="B9:B11"/>
    <mergeCell ref="C9:C11"/>
    <mergeCell ref="AD11:AE11"/>
    <mergeCell ref="AF11:AG11"/>
    <mergeCell ref="AD10:AG10"/>
    <mergeCell ref="X10:AC10"/>
    <mergeCell ref="T10:W10"/>
    <mergeCell ref="D9:BE9"/>
    <mergeCell ref="BB10:BB11"/>
    <mergeCell ref="BC10:BC11"/>
    <mergeCell ref="BD10:BD11"/>
    <mergeCell ref="BE10:BE11"/>
    <mergeCell ref="AX10:BA10"/>
    <mergeCell ref="AR10:AW10"/>
    <mergeCell ref="AN10:AQ10"/>
    <mergeCell ref="AH10:AM10"/>
    <mergeCell ref="AP11:AQ11"/>
    <mergeCell ref="AX11:AY11"/>
    <mergeCell ref="AZ11:BA11"/>
    <mergeCell ref="D11:E11"/>
    <mergeCell ref="F11:G11"/>
    <mergeCell ref="H11:I11"/>
    <mergeCell ref="J11:K11"/>
    <mergeCell ref="L11:M11"/>
    <mergeCell ref="N11:O11"/>
    <mergeCell ref="P11:Q11"/>
    <mergeCell ref="R11:S11"/>
    <mergeCell ref="T11:U11"/>
    <mergeCell ref="V11:W11"/>
    <mergeCell ref="X11:Y11"/>
    <mergeCell ref="Z11:AA11"/>
    <mergeCell ref="AB11:AC11"/>
    <mergeCell ref="AH11:AI11"/>
    <mergeCell ref="AJ11:AK11"/>
    <mergeCell ref="AL11:AM11"/>
    <mergeCell ref="AR11:AS11"/>
    <mergeCell ref="AT11:AU11"/>
    <mergeCell ref="AV11:AW11"/>
    <mergeCell ref="AN11:AO11"/>
    <mergeCell ref="CF10:CF11"/>
    <mergeCell ref="CE10:CE11"/>
    <mergeCell ref="CD10:CD11"/>
    <mergeCell ref="BF9:CG9"/>
    <mergeCell ref="BF11:BG11"/>
    <mergeCell ref="BH11:BI11"/>
    <mergeCell ref="BJ11:BK11"/>
    <mergeCell ref="BL11:BM11"/>
    <mergeCell ref="BN11:BO11"/>
    <mergeCell ref="BP11:BQ11"/>
    <mergeCell ref="BR11:BS11"/>
    <mergeCell ref="BT11:BU11"/>
    <mergeCell ref="BV11:BW11"/>
    <mergeCell ref="BX11:BY11"/>
    <mergeCell ref="BZ11:CA11"/>
    <mergeCell ref="CB11:CC11"/>
    <mergeCell ref="BV10:BY10"/>
    <mergeCell ref="CH11:CK11"/>
    <mergeCell ref="CH10:CK10"/>
    <mergeCell ref="CG10:CG11"/>
    <mergeCell ref="CL10:CM10"/>
    <mergeCell ref="CR11:CS11"/>
    <mergeCell ref="CT11:CU11"/>
    <mergeCell ref="CV11:CW11"/>
    <mergeCell ref="CX11:CY11"/>
    <mergeCell ref="CN10:CQ10"/>
    <mergeCell ref="CN11:CO11"/>
    <mergeCell ref="CP11:CQ11"/>
    <mergeCell ref="DD9:DW9"/>
    <mergeCell ref="DX9:DX11"/>
    <mergeCell ref="DY9:FD9"/>
    <mergeCell ref="DA10:DA11"/>
    <mergeCell ref="CZ10:CZ11"/>
    <mergeCell ref="CR10:CY10"/>
    <mergeCell ref="B23:B25"/>
    <mergeCell ref="B26:B28"/>
    <mergeCell ref="B29:B31"/>
    <mergeCell ref="EU11:EV11"/>
    <mergeCell ref="EW11:EX11"/>
    <mergeCell ref="EY11:EZ11"/>
    <mergeCell ref="EG11:EH11"/>
    <mergeCell ref="DD11:DE11"/>
    <mergeCell ref="DF11:DG11"/>
    <mergeCell ref="DH11:DI11"/>
    <mergeCell ref="DD10:DG10"/>
    <mergeCell ref="DH10:DM10"/>
    <mergeCell ref="BZ10:CC10"/>
    <mergeCell ref="CH9:DC9"/>
    <mergeCell ref="BF10:BI10"/>
    <mergeCell ref="BJ10:BM10"/>
    <mergeCell ref="BN10:BQ10"/>
    <mergeCell ref="BR10:BU10"/>
    <mergeCell ref="B32:B37"/>
    <mergeCell ref="B13:B20"/>
    <mergeCell ref="B21:B22"/>
    <mergeCell ref="CL11:CM11"/>
    <mergeCell ref="ES11:ET11"/>
    <mergeCell ref="DJ11:DK11"/>
    <mergeCell ref="DV10:DV11"/>
    <mergeCell ref="DW10:DW11"/>
    <mergeCell ref="DY10:EB10"/>
    <mergeCell ref="EC10:EF10"/>
    <mergeCell ref="EG10:EJ10"/>
    <mergeCell ref="EI11:EJ11"/>
    <mergeCell ref="DN10:DU10"/>
    <mergeCell ref="DL11:DM11"/>
    <mergeCell ref="DN11:DO11"/>
    <mergeCell ref="DP11:DQ11"/>
    <mergeCell ref="DR11:DS11"/>
    <mergeCell ref="DB10:DB11"/>
    <mergeCell ref="DC10:DC11"/>
    <mergeCell ref="DT11:DU11"/>
    <mergeCell ref="DY11:DZ11"/>
    <mergeCell ref="EA11:EB11"/>
    <mergeCell ref="EC11:ED11"/>
    <mergeCell ref="EE11:EF11"/>
    <mergeCell ref="FH10:FH11"/>
    <mergeCell ref="EK10:EN10"/>
    <mergeCell ref="EO10:ER10"/>
    <mergeCell ref="ES10:EV10"/>
    <mergeCell ref="EW10:EZ10"/>
    <mergeCell ref="FA10:FA11"/>
    <mergeCell ref="FB10:FB11"/>
    <mergeCell ref="EK11:EL11"/>
    <mergeCell ref="EM11:EN11"/>
    <mergeCell ref="EO11:EP11"/>
    <mergeCell ref="EQ11:ER11"/>
    <mergeCell ref="FC10:FC11"/>
    <mergeCell ref="FD10:FD11"/>
    <mergeCell ref="FE10:FE11"/>
    <mergeCell ref="FF10:FF11"/>
    <mergeCell ref="FG10:FG11"/>
  </mergeCells>
  <phoneticPr fontId="57" type="noConversion"/>
  <conditionalFormatting sqref="DA38 B38:BA38 CU38 DC38 CE38 BC38 BE38:CC38 DE38 DG38 DI38 DK38 DM38 DW38:EZ38 DO38 DQ38 DS38:DU38 FB38 FD38:FH38 CG38:CS38">
    <cfRule type="expression" dxfId="122" priority="69" stopIfTrue="1">
      <formula>MOD(ROW(),2)=1</formula>
    </cfRule>
    <cfRule type="expression" dxfId="121" priority="70" stopIfTrue="1">
      <formula>MOD(ROW(),2)=0</formula>
    </cfRule>
  </conditionalFormatting>
  <conditionalFormatting sqref="CW38 CY38">
    <cfRule type="expression" dxfId="120" priority="59" stopIfTrue="1">
      <formula>MOD(ROW(),2)=1</formula>
    </cfRule>
    <cfRule type="expression" dxfId="119" priority="60" stopIfTrue="1">
      <formula>MOD(ROW(),2)=0</formula>
    </cfRule>
  </conditionalFormatting>
  <conditionalFormatting sqref="DX13:FD37">
    <cfRule type="expression" dxfId="118" priority="61" stopIfTrue="1">
      <formula>MOD(ROW(),2)=1</formula>
    </cfRule>
    <cfRule type="expression" dxfId="117" priority="62" stopIfTrue="1">
      <formula>MOD(ROW(),2)=0</formula>
    </cfRule>
  </conditionalFormatting>
  <conditionalFormatting sqref="DB38">
    <cfRule type="expression" dxfId="116" priority="49" stopIfTrue="1">
      <formula>MOD(ROW(),2)=1</formula>
    </cfRule>
    <cfRule type="expression" dxfId="115" priority="50" stopIfTrue="1">
      <formula>MOD(ROW(),2)=0</formula>
    </cfRule>
  </conditionalFormatting>
  <conditionalFormatting sqref="CT38">
    <cfRule type="expression" dxfId="114" priority="57" stopIfTrue="1">
      <formula>MOD(ROW(),2)=1</formula>
    </cfRule>
    <cfRule type="expression" dxfId="113" priority="58" stopIfTrue="1">
      <formula>MOD(ROW(),2)=0</formula>
    </cfRule>
  </conditionalFormatting>
  <conditionalFormatting sqref="CV38">
    <cfRule type="expression" dxfId="112" priority="55" stopIfTrue="1">
      <formula>MOD(ROW(),2)=1</formula>
    </cfRule>
    <cfRule type="expression" dxfId="111" priority="56" stopIfTrue="1">
      <formula>MOD(ROW(),2)=0</formula>
    </cfRule>
  </conditionalFormatting>
  <conditionalFormatting sqref="CX38">
    <cfRule type="expression" dxfId="110" priority="53" stopIfTrue="1">
      <formula>MOD(ROW(),2)=1</formula>
    </cfRule>
    <cfRule type="expression" dxfId="109" priority="54" stopIfTrue="1">
      <formula>MOD(ROW(),2)=0</formula>
    </cfRule>
  </conditionalFormatting>
  <conditionalFormatting sqref="CZ38">
    <cfRule type="expression" dxfId="108" priority="51" stopIfTrue="1">
      <formula>MOD(ROW(),2)=1</formula>
    </cfRule>
    <cfRule type="expression" dxfId="107" priority="52" stopIfTrue="1">
      <formula>MOD(ROW(),2)=0</formula>
    </cfRule>
  </conditionalFormatting>
  <conditionalFormatting sqref="CD38">
    <cfRule type="expression" dxfId="106" priority="47" stopIfTrue="1">
      <formula>MOD(ROW(),2)=1</formula>
    </cfRule>
    <cfRule type="expression" dxfId="105" priority="48" stopIfTrue="1">
      <formula>MOD(ROW(),2)=0</formula>
    </cfRule>
  </conditionalFormatting>
  <conditionalFormatting sqref="CF38">
    <cfRule type="expression" dxfId="104" priority="45" stopIfTrue="1">
      <formula>MOD(ROW(),2)=1</formula>
    </cfRule>
    <cfRule type="expression" dxfId="103" priority="46" stopIfTrue="1">
      <formula>MOD(ROW(),2)=0</formula>
    </cfRule>
  </conditionalFormatting>
  <conditionalFormatting sqref="BB38">
    <cfRule type="expression" dxfId="102" priority="43" stopIfTrue="1">
      <formula>MOD(ROW(),2)=1</formula>
    </cfRule>
    <cfRule type="expression" dxfId="101" priority="44" stopIfTrue="1">
      <formula>MOD(ROW(),2)=0</formula>
    </cfRule>
  </conditionalFormatting>
  <conditionalFormatting sqref="BD38">
    <cfRule type="expression" dxfId="100" priority="41" stopIfTrue="1">
      <formula>MOD(ROW(),2)=1</formula>
    </cfRule>
    <cfRule type="expression" dxfId="99" priority="42" stopIfTrue="1">
      <formula>MOD(ROW(),2)=0</formula>
    </cfRule>
  </conditionalFormatting>
  <conditionalFormatting sqref="DD38">
    <cfRule type="expression" dxfId="98" priority="39" stopIfTrue="1">
      <formula>MOD(ROW(),2)=1</formula>
    </cfRule>
    <cfRule type="expression" dxfId="97" priority="40" stopIfTrue="1">
      <formula>MOD(ROW(),2)=0</formula>
    </cfRule>
  </conditionalFormatting>
  <conditionalFormatting sqref="DF38">
    <cfRule type="expression" dxfId="96" priority="37" stopIfTrue="1">
      <formula>MOD(ROW(),2)=1</formula>
    </cfRule>
    <cfRule type="expression" dxfId="95" priority="38" stopIfTrue="1">
      <formula>MOD(ROW(),2)=0</formula>
    </cfRule>
  </conditionalFormatting>
  <conditionalFormatting sqref="DH38">
    <cfRule type="expression" dxfId="94" priority="35" stopIfTrue="1">
      <formula>MOD(ROW(),2)=1</formula>
    </cfRule>
    <cfRule type="expression" dxfId="93" priority="36" stopIfTrue="1">
      <formula>MOD(ROW(),2)=0</formula>
    </cfRule>
  </conditionalFormatting>
  <conditionalFormatting sqref="DJ38">
    <cfRule type="expression" dxfId="92" priority="33" stopIfTrue="1">
      <formula>MOD(ROW(),2)=1</formula>
    </cfRule>
    <cfRule type="expression" dxfId="91" priority="34" stopIfTrue="1">
      <formula>MOD(ROW(),2)=0</formula>
    </cfRule>
  </conditionalFormatting>
  <conditionalFormatting sqref="DL38">
    <cfRule type="expression" dxfId="90" priority="31" stopIfTrue="1">
      <formula>MOD(ROW(),2)=1</formula>
    </cfRule>
    <cfRule type="expression" dxfId="89" priority="32" stopIfTrue="1">
      <formula>MOD(ROW(),2)=0</formula>
    </cfRule>
  </conditionalFormatting>
  <conditionalFormatting sqref="DV38">
    <cfRule type="expression" dxfId="88" priority="23" stopIfTrue="1">
      <formula>MOD(ROW(),2)=1</formula>
    </cfRule>
    <cfRule type="expression" dxfId="87" priority="24" stopIfTrue="1">
      <formula>MOD(ROW(),2)=0</formula>
    </cfRule>
  </conditionalFormatting>
  <conditionalFormatting sqref="DN38">
    <cfRule type="expression" dxfId="86" priority="29" stopIfTrue="1">
      <formula>MOD(ROW(),2)=1</formula>
    </cfRule>
    <cfRule type="expression" dxfId="85" priority="30" stopIfTrue="1">
      <formula>MOD(ROW(),2)=0</formula>
    </cfRule>
  </conditionalFormatting>
  <conditionalFormatting sqref="DP38">
    <cfRule type="expression" dxfId="84" priority="27" stopIfTrue="1">
      <formula>MOD(ROW(),2)=1</formula>
    </cfRule>
    <cfRule type="expression" dxfId="83" priority="28" stopIfTrue="1">
      <formula>MOD(ROW(),2)=0</formula>
    </cfRule>
  </conditionalFormatting>
  <conditionalFormatting sqref="DR38">
    <cfRule type="expression" dxfId="82" priority="25" stopIfTrue="1">
      <formula>MOD(ROW(),2)=1</formula>
    </cfRule>
    <cfRule type="expression" dxfId="81" priority="26" stopIfTrue="1">
      <formula>MOD(ROW(),2)=0</formula>
    </cfRule>
  </conditionalFormatting>
  <conditionalFormatting sqref="FA38">
    <cfRule type="expression" dxfId="80" priority="21" stopIfTrue="1">
      <formula>MOD(ROW(),2)=1</formula>
    </cfRule>
    <cfRule type="expression" dxfId="79" priority="22" stopIfTrue="1">
      <formula>MOD(ROW(),2)=0</formula>
    </cfRule>
  </conditionalFormatting>
  <conditionalFormatting sqref="FC38">
    <cfRule type="expression" dxfId="78" priority="19" stopIfTrue="1">
      <formula>MOD(ROW(),2)=1</formula>
    </cfRule>
    <cfRule type="expression" dxfId="77" priority="20" stopIfTrue="1">
      <formula>MOD(ROW(),2)=0</formula>
    </cfRule>
  </conditionalFormatting>
  <conditionalFormatting sqref="DD13:DU37">
    <cfRule type="expression" dxfId="76" priority="11" stopIfTrue="1">
      <formula>MOD(ROW(),2)=1</formula>
    </cfRule>
    <cfRule type="expression" dxfId="75" priority="12" stopIfTrue="1">
      <formula>MOD(ROW(),2)=0</formula>
    </cfRule>
  </conditionalFormatting>
  <conditionalFormatting sqref="FE13:FH37">
    <cfRule type="expression" dxfId="74" priority="17" stopIfTrue="1">
      <formula>MOD(ROW(),2)=1</formula>
    </cfRule>
    <cfRule type="expression" dxfId="73" priority="18" stopIfTrue="1">
      <formula>MOD(ROW(),2)=0</formula>
    </cfRule>
  </conditionalFormatting>
  <conditionalFormatting sqref="CZ13:DC37">
    <cfRule type="expression" dxfId="72" priority="15" stopIfTrue="1">
      <formula>MOD(ROW(),2)=1</formula>
    </cfRule>
    <cfRule type="expression" dxfId="71" priority="16" stopIfTrue="1">
      <formula>MOD(ROW(),2)=0</formula>
    </cfRule>
  </conditionalFormatting>
  <conditionalFormatting sqref="DV13:DW37">
    <cfRule type="expression" dxfId="70" priority="13" stopIfTrue="1">
      <formula>MOD(ROW(),2)=1</formula>
    </cfRule>
    <cfRule type="expression" dxfId="69" priority="14" stopIfTrue="1">
      <formula>MOD(ROW(),2)=0</formula>
    </cfRule>
  </conditionalFormatting>
  <conditionalFormatting sqref="CH13:CY37">
    <cfRule type="expression" dxfId="68" priority="9" stopIfTrue="1">
      <formula>MOD(ROW(),2)=1</formula>
    </cfRule>
    <cfRule type="expression" dxfId="67" priority="10" stopIfTrue="1">
      <formula>MOD(ROW(),2)=0</formula>
    </cfRule>
  </conditionalFormatting>
  <conditionalFormatting sqref="D13:BA37">
    <cfRule type="expression" dxfId="66" priority="1" stopIfTrue="1">
      <formula>MOD(ROW(),2)=1</formula>
    </cfRule>
    <cfRule type="expression" dxfId="65" priority="2" stopIfTrue="1">
      <formula>MOD(ROW(),2)=0</formula>
    </cfRule>
  </conditionalFormatting>
  <conditionalFormatting sqref="CD13:CG37">
    <cfRule type="expression" dxfId="64" priority="7" stopIfTrue="1">
      <formula>MOD(ROW(),2)=1</formula>
    </cfRule>
    <cfRule type="expression" dxfId="63" priority="8" stopIfTrue="1">
      <formula>MOD(ROW(),2)=0</formula>
    </cfRule>
  </conditionalFormatting>
  <conditionalFormatting sqref="BF13:CC37">
    <cfRule type="expression" dxfId="62" priority="5" stopIfTrue="1">
      <formula>MOD(ROW(),2)=1</formula>
    </cfRule>
    <cfRule type="expression" dxfId="61" priority="6" stopIfTrue="1">
      <formula>MOD(ROW(),2)=0</formula>
    </cfRule>
  </conditionalFormatting>
  <conditionalFormatting sqref="BB14:BE37 BC13 BE13">
    <cfRule type="expression" dxfId="60" priority="3" stopIfTrue="1">
      <formula>MOD(ROW(),2)=1</formula>
    </cfRule>
    <cfRule type="expression" dxfId="59" priority="4" stopIfTrue="1">
      <formula>MOD(ROW(),2)=0</formula>
    </cfRule>
  </conditionalFormatting>
  <dataValidations disablePrompts="1" count="2">
    <dataValidation allowBlank="1" showInputMessage="1" showErrorMessage="1" prompt="http://uis.unesco.org/apps/visualisations/research-and-development-spending/ " sqref="DH10:DH11" xr:uid="{00000000-0002-0000-0200-000000000000}"/>
    <dataValidation allowBlank="1" showInputMessage="1" showErrorMessage="1" prompt="https://www.fraserinstitute.org/studies/annual-survey-of-mining-companies-2018 " sqref="DN11:DN12 DO12" xr:uid="{00000000-0002-0000-0200-000001000000}"/>
  </dataValidations>
  <hyperlinks>
    <hyperlink ref="A6" location="rng_Cover_Copyright" display="Subject to terms and conditions" xr:uid="{00000000-0004-0000-0200-000000000000}"/>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G33"/>
  <sheetViews>
    <sheetView showGridLines="0" zoomScaleNormal="100" workbookViewId="0">
      <selection activeCell="A2" sqref="A2"/>
    </sheetView>
  </sheetViews>
  <sheetFormatPr defaultColWidth="8.7109375" defaultRowHeight="12.75"/>
  <cols>
    <col min="1" max="1" width="13" style="21" customWidth="1"/>
    <col min="2" max="2" width="19.140625" style="21" customWidth="1"/>
    <col min="3" max="3" width="35.140625" style="60" customWidth="1"/>
    <col min="4" max="4" width="13.28515625" style="60" customWidth="1"/>
    <col min="5" max="5" width="39.42578125" style="58" customWidth="1"/>
    <col min="6" max="6" width="16.85546875" style="60" customWidth="1"/>
    <col min="7" max="7" width="91.5703125" style="60" customWidth="1"/>
    <col min="8" max="16384" width="8.7109375" style="21"/>
  </cols>
  <sheetData>
    <row r="1" spans="1:7" s="35" customFormat="1" ht="35.25" customHeight="1">
      <c r="C1" s="69"/>
      <c r="D1" s="69"/>
      <c r="E1" s="71"/>
      <c r="F1" s="69"/>
      <c r="G1" s="69"/>
    </row>
    <row r="2" spans="1:7" s="34" customFormat="1">
      <c r="C2" s="59"/>
      <c r="D2" s="59"/>
      <c r="E2" s="61"/>
      <c r="F2" s="59"/>
      <c r="G2" s="59"/>
    </row>
    <row r="3" spans="1:7" s="34" customFormat="1">
      <c r="A3" s="40" t="s">
        <v>0</v>
      </c>
      <c r="C3" s="59"/>
      <c r="D3" s="59"/>
      <c r="E3" s="61"/>
      <c r="F3" s="59"/>
      <c r="G3" s="59"/>
    </row>
    <row r="5" spans="1:7" s="64" customFormat="1">
      <c r="B5" s="65" t="s">
        <v>119</v>
      </c>
      <c r="C5" s="66" t="s">
        <v>118</v>
      </c>
      <c r="D5" s="66" t="s">
        <v>3</v>
      </c>
      <c r="E5" s="72" t="s">
        <v>21</v>
      </c>
      <c r="F5" s="66" t="s">
        <v>22</v>
      </c>
      <c r="G5" s="66" t="s">
        <v>122</v>
      </c>
    </row>
    <row r="6" spans="1:7" s="64" customFormat="1">
      <c r="B6" s="719" t="s">
        <v>266</v>
      </c>
      <c r="C6" s="222" t="s">
        <v>41</v>
      </c>
      <c r="D6" s="223" t="s">
        <v>42</v>
      </c>
      <c r="E6" s="222" t="s">
        <v>276</v>
      </c>
      <c r="F6" s="221" t="s">
        <v>143</v>
      </c>
      <c r="G6" s="70"/>
    </row>
    <row r="7" spans="1:7" s="64" customFormat="1">
      <c r="B7" s="719"/>
      <c r="C7" s="222" t="s">
        <v>88</v>
      </c>
      <c r="D7" s="223" t="s">
        <v>43</v>
      </c>
      <c r="E7" s="222" t="s">
        <v>67</v>
      </c>
      <c r="F7" s="221" t="s">
        <v>143</v>
      </c>
      <c r="G7" s="70"/>
    </row>
    <row r="8" spans="1:7" s="64" customFormat="1">
      <c r="B8" s="719"/>
      <c r="C8" s="222" t="s">
        <v>75</v>
      </c>
      <c r="D8" s="223" t="s">
        <v>43</v>
      </c>
      <c r="E8" s="222" t="s">
        <v>67</v>
      </c>
      <c r="F8" s="221" t="s">
        <v>143</v>
      </c>
      <c r="G8" s="70"/>
    </row>
    <row r="9" spans="1:7">
      <c r="B9" s="720" t="s">
        <v>132</v>
      </c>
      <c r="C9" s="224" t="s">
        <v>60</v>
      </c>
      <c r="D9" s="223" t="s">
        <v>45</v>
      </c>
      <c r="E9" s="222" t="s">
        <v>67</v>
      </c>
      <c r="F9" s="221" t="s">
        <v>143</v>
      </c>
      <c r="G9" s="54"/>
    </row>
    <row r="10" spans="1:7">
      <c r="B10" s="720"/>
      <c r="C10" s="224" t="s">
        <v>61</v>
      </c>
      <c r="D10" s="223" t="s">
        <v>43</v>
      </c>
      <c r="E10" s="222" t="s">
        <v>67</v>
      </c>
      <c r="F10" s="221" t="s">
        <v>143</v>
      </c>
      <c r="G10" s="54"/>
    </row>
    <row r="11" spans="1:7">
      <c r="B11" s="720"/>
      <c r="C11" s="224" t="s">
        <v>62</v>
      </c>
      <c r="D11" s="223" t="s">
        <v>43</v>
      </c>
      <c r="E11" s="222" t="s">
        <v>67</v>
      </c>
      <c r="F11" s="221" t="s">
        <v>143</v>
      </c>
      <c r="G11" s="54"/>
    </row>
    <row r="12" spans="1:7">
      <c r="B12" s="720"/>
      <c r="C12" s="224" t="s">
        <v>271</v>
      </c>
      <c r="D12" s="223" t="s">
        <v>46</v>
      </c>
      <c r="E12" s="222" t="s">
        <v>67</v>
      </c>
      <c r="F12" s="221" t="s">
        <v>143</v>
      </c>
      <c r="G12" s="54"/>
    </row>
    <row r="13" spans="1:7">
      <c r="B13" s="720"/>
      <c r="C13" s="224" t="s">
        <v>76</v>
      </c>
      <c r="D13" s="223" t="s">
        <v>43</v>
      </c>
      <c r="E13" s="222" t="s">
        <v>67</v>
      </c>
      <c r="F13" s="221" t="s">
        <v>143</v>
      </c>
      <c r="G13" s="54"/>
    </row>
    <row r="14" spans="1:7">
      <c r="B14" s="720"/>
      <c r="C14" s="225" t="s">
        <v>64</v>
      </c>
      <c r="D14" s="223" t="s">
        <v>50</v>
      </c>
      <c r="E14" s="222" t="s">
        <v>67</v>
      </c>
      <c r="F14" s="221" t="s">
        <v>143</v>
      </c>
      <c r="G14" s="54"/>
    </row>
    <row r="15" spans="1:7">
      <c r="B15" s="720" t="s">
        <v>80</v>
      </c>
      <c r="C15" s="225" t="s">
        <v>94</v>
      </c>
      <c r="D15" s="223" t="s">
        <v>120</v>
      </c>
      <c r="E15" s="226" t="s">
        <v>133</v>
      </c>
      <c r="F15" s="128">
        <v>2019</v>
      </c>
      <c r="G15" s="54" t="s">
        <v>134</v>
      </c>
    </row>
    <row r="16" spans="1:7" ht="25.5">
      <c r="B16" s="720"/>
      <c r="C16" s="225" t="s">
        <v>267</v>
      </c>
      <c r="D16" s="223" t="s">
        <v>120</v>
      </c>
      <c r="E16" s="227" t="s">
        <v>256</v>
      </c>
      <c r="F16" s="128">
        <v>2020</v>
      </c>
      <c r="G16" s="54" t="s">
        <v>259</v>
      </c>
    </row>
    <row r="17" spans="2:7" ht="25.5">
      <c r="B17" s="720"/>
      <c r="C17" s="225" t="s">
        <v>258</v>
      </c>
      <c r="D17" s="223" t="s">
        <v>120</v>
      </c>
      <c r="E17" s="227" t="s">
        <v>256</v>
      </c>
      <c r="F17" s="128">
        <v>2020</v>
      </c>
      <c r="G17" s="54" t="s">
        <v>260</v>
      </c>
    </row>
    <row r="18" spans="2:7" ht="38.25">
      <c r="B18" s="720"/>
      <c r="C18" s="225" t="s">
        <v>257</v>
      </c>
      <c r="D18" s="223" t="s">
        <v>120</v>
      </c>
      <c r="E18" s="227" t="s">
        <v>137</v>
      </c>
      <c r="F18" s="128">
        <v>2019</v>
      </c>
      <c r="G18" s="54" t="s">
        <v>268</v>
      </c>
    </row>
    <row r="19" spans="2:7" ht="51">
      <c r="B19" s="720"/>
      <c r="C19" s="225" t="s">
        <v>93</v>
      </c>
      <c r="D19" s="264" t="s">
        <v>85</v>
      </c>
      <c r="E19" s="227" t="s">
        <v>272</v>
      </c>
      <c r="F19" s="128">
        <v>2019</v>
      </c>
      <c r="G19" s="54" t="s">
        <v>277</v>
      </c>
    </row>
    <row r="20" spans="2:7" ht="25.5">
      <c r="B20" s="720"/>
      <c r="C20" s="225" t="s">
        <v>93</v>
      </c>
      <c r="D20" s="264" t="s">
        <v>85</v>
      </c>
      <c r="E20" s="229" t="s">
        <v>136</v>
      </c>
      <c r="F20" s="128">
        <v>2025</v>
      </c>
      <c r="G20" s="54" t="s">
        <v>273</v>
      </c>
    </row>
    <row r="21" spans="2:7">
      <c r="B21" s="720" t="s">
        <v>121</v>
      </c>
      <c r="C21" s="225" t="s">
        <v>47</v>
      </c>
      <c r="D21" s="223" t="s">
        <v>96</v>
      </c>
      <c r="E21" s="228" t="s">
        <v>138</v>
      </c>
      <c r="F21" s="221" t="s">
        <v>140</v>
      </c>
      <c r="G21" s="54" t="s">
        <v>139</v>
      </c>
    </row>
    <row r="22" spans="2:7" ht="38.25">
      <c r="B22" s="720"/>
      <c r="C22" s="225" t="s">
        <v>77</v>
      </c>
      <c r="D22" s="264" t="s">
        <v>120</v>
      </c>
      <c r="E22" s="227" t="s">
        <v>275</v>
      </c>
      <c r="F22" s="128">
        <v>2018</v>
      </c>
      <c r="G22" s="54" t="s">
        <v>274</v>
      </c>
    </row>
    <row r="23" spans="2:7" ht="63.75">
      <c r="B23" s="717" t="s">
        <v>117</v>
      </c>
      <c r="C23" s="225" t="s">
        <v>100</v>
      </c>
      <c r="D23" s="223" t="s">
        <v>97</v>
      </c>
      <c r="E23" s="226" t="s">
        <v>141</v>
      </c>
      <c r="F23" s="128" t="s">
        <v>130</v>
      </c>
      <c r="G23" s="54" t="s">
        <v>142</v>
      </c>
    </row>
    <row r="24" spans="2:7">
      <c r="B24" s="717"/>
      <c r="C24" s="225" t="s">
        <v>102</v>
      </c>
      <c r="D24" s="264" t="s">
        <v>131</v>
      </c>
      <c r="E24" s="227" t="s">
        <v>145</v>
      </c>
      <c r="F24" s="128" t="s">
        <v>130</v>
      </c>
      <c r="G24" s="55" t="s">
        <v>101</v>
      </c>
    </row>
    <row r="25" spans="2:7" ht="25.5">
      <c r="B25" s="717"/>
      <c r="C25" s="225" t="s">
        <v>115</v>
      </c>
      <c r="D25" s="264" t="s">
        <v>120</v>
      </c>
      <c r="E25" s="226" t="s">
        <v>116</v>
      </c>
      <c r="F25" s="128">
        <v>2019</v>
      </c>
      <c r="G25" s="54" t="s">
        <v>146</v>
      </c>
    </row>
    <row r="26" spans="2:7" ht="24.95" customHeight="1">
      <c r="B26" s="717" t="s">
        <v>98</v>
      </c>
      <c r="C26" s="225" t="s">
        <v>105</v>
      </c>
      <c r="D26" s="264" t="s">
        <v>120</v>
      </c>
      <c r="E26" s="227" t="s">
        <v>106</v>
      </c>
      <c r="F26" s="128">
        <v>2019</v>
      </c>
      <c r="G26" s="54" t="s">
        <v>144</v>
      </c>
    </row>
    <row r="27" spans="2:7" ht="25.5">
      <c r="B27" s="717"/>
      <c r="C27" s="225" t="s">
        <v>108</v>
      </c>
      <c r="D27" s="264" t="s">
        <v>120</v>
      </c>
      <c r="E27" s="227" t="s">
        <v>107</v>
      </c>
      <c r="F27" s="128"/>
      <c r="G27" s="54" t="s">
        <v>255</v>
      </c>
    </row>
    <row r="28" spans="2:7" ht="38.25">
      <c r="B28" s="717"/>
      <c r="C28" s="225" t="s">
        <v>269</v>
      </c>
      <c r="D28" s="264" t="s">
        <v>120</v>
      </c>
      <c r="E28" s="227" t="s">
        <v>129</v>
      </c>
      <c r="F28" s="128">
        <v>2020</v>
      </c>
      <c r="G28" s="54" t="s">
        <v>254</v>
      </c>
    </row>
    <row r="29" spans="2:7">
      <c r="B29" s="717"/>
      <c r="C29" s="225" t="s">
        <v>270</v>
      </c>
      <c r="D29" s="264" t="s">
        <v>120</v>
      </c>
      <c r="E29" s="227" t="s">
        <v>128</v>
      </c>
      <c r="F29" s="128">
        <v>2019</v>
      </c>
      <c r="G29" s="54" t="s">
        <v>126</v>
      </c>
    </row>
    <row r="30" spans="2:7">
      <c r="B30" s="717" t="s">
        <v>48</v>
      </c>
      <c r="C30" s="225" t="s">
        <v>262</v>
      </c>
      <c r="D30" s="264" t="s">
        <v>50</v>
      </c>
      <c r="E30" s="227" t="s">
        <v>263</v>
      </c>
      <c r="F30" s="128" t="s">
        <v>125</v>
      </c>
      <c r="G30" s="54"/>
    </row>
    <row r="31" spans="2:7">
      <c r="B31" s="717"/>
      <c r="C31" s="225" t="s">
        <v>123</v>
      </c>
      <c r="D31" s="264" t="s">
        <v>50</v>
      </c>
      <c r="E31" s="227" t="s">
        <v>124</v>
      </c>
      <c r="F31" s="128" t="s">
        <v>125</v>
      </c>
      <c r="G31" s="54" t="s">
        <v>127</v>
      </c>
    </row>
    <row r="32" spans="2:7">
      <c r="B32" s="718"/>
      <c r="C32" s="225" t="s">
        <v>261</v>
      </c>
      <c r="D32" s="264" t="s">
        <v>50</v>
      </c>
      <c r="E32" s="227" t="s">
        <v>124</v>
      </c>
      <c r="F32" s="128" t="s">
        <v>125</v>
      </c>
      <c r="G32" s="54"/>
    </row>
    <row r="33" spans="2:7">
      <c r="B33" s="52"/>
      <c r="C33" s="67"/>
      <c r="D33" s="67"/>
      <c r="E33" s="73"/>
      <c r="F33" s="67"/>
      <c r="G33" s="67"/>
    </row>
  </sheetData>
  <sheetProtection formatCells="0"/>
  <mergeCells count="7">
    <mergeCell ref="B30:B32"/>
    <mergeCell ref="B6:B8"/>
    <mergeCell ref="B21:B22"/>
    <mergeCell ref="B9:B14"/>
    <mergeCell ref="B15:B20"/>
    <mergeCell ref="B23:B25"/>
    <mergeCell ref="B26:B29"/>
  </mergeCells>
  <phoneticPr fontId="57" type="noConversion"/>
  <conditionalFormatting sqref="B33 B30">
    <cfRule type="expression" dxfId="58" priority="4" stopIfTrue="1">
      <formula>MOD(ROW(),2)=1</formula>
    </cfRule>
    <cfRule type="expression" dxfId="57" priority="5" stopIfTrue="1">
      <formula>MOD(ROW(),2)=0</formula>
    </cfRule>
  </conditionalFormatting>
  <conditionalFormatting sqref="C33:G33">
    <cfRule type="expression" dxfId="56" priority="3" stopIfTrue="1">
      <formula>MOD(ROW(),2)=1</formula>
    </cfRule>
    <cfRule type="expression" dxfId="55" priority="6" stopIfTrue="1">
      <formula>MOD(ROW(),2)=0</formula>
    </cfRule>
  </conditionalFormatting>
  <conditionalFormatting sqref="B6:B15 B21:B23 B26">
    <cfRule type="expression" dxfId="54" priority="2" stopIfTrue="1">
      <formula>MOD(ROW(),2)=1</formula>
    </cfRule>
    <cfRule type="expression" dxfId="53" priority="7" stopIfTrue="1">
      <formula>MOD(ROW(),2)=0</formula>
    </cfRule>
  </conditionalFormatting>
  <conditionalFormatting sqref="C6:G32">
    <cfRule type="expression" dxfId="52" priority="1" stopIfTrue="1">
      <formula>MOD(ROW(),2)=1</formula>
    </cfRule>
    <cfRule type="expression" dxfId="51" priority="8" stopIfTrue="1">
      <formula>MOD(ROW(),2)=0</formula>
    </cfRule>
  </conditionalFormatting>
  <dataValidations count="1">
    <dataValidation allowBlank="1" showInputMessage="1" showErrorMessage="1" prompt="Unlikely to be used in V1 as we dont have this database to hand" sqref="C13" xr:uid="{00000000-0002-0000-0300-000000000000}"/>
  </dataValidations>
  <hyperlinks>
    <hyperlink ref="A3" location="rng_Cover_Copyright" display="Subject to terms and conditions" xr:uid="{00000000-0004-0000-0300-000000000000}"/>
    <hyperlink ref="E15" r:id="rId1" xr:uid="{00000000-0004-0000-0300-000001000000}"/>
    <hyperlink ref="E21" r:id="rId2" xr:uid="{00000000-0004-0000-0300-000002000000}"/>
    <hyperlink ref="E23" r:id="rId3" xr:uid="{00000000-0004-0000-0300-000003000000}"/>
    <hyperlink ref="E22" r:id="rId4" xr:uid="{00000000-0004-0000-0300-000004000000}"/>
    <hyperlink ref="E26" r:id="rId5" xr:uid="{00000000-0004-0000-0300-000005000000}"/>
    <hyperlink ref="E24" r:id="rId6" xr:uid="{00000000-0004-0000-0300-000006000000}"/>
    <hyperlink ref="E25" r:id="rId7" xr:uid="{00000000-0004-0000-0300-000007000000}"/>
    <hyperlink ref="E29" r:id="rId8" xr:uid="{00000000-0004-0000-0300-000008000000}"/>
    <hyperlink ref="E28" r:id="rId9" xr:uid="{00000000-0004-0000-0300-000009000000}"/>
    <hyperlink ref="E27" r:id="rId10" xr:uid="{00000000-0004-0000-0300-00000A000000}"/>
    <hyperlink ref="E16" r:id="rId11" xr:uid="{00000000-0004-0000-0300-00000B000000}"/>
    <hyperlink ref="E17" r:id="rId12" xr:uid="{00000000-0004-0000-0300-00000C000000}"/>
    <hyperlink ref="E20" r:id="rId13" xr:uid="{00000000-0004-0000-0300-00000D000000}"/>
    <hyperlink ref="E18" r:id="rId14" xr:uid="{00000000-0004-0000-0300-00000E000000}"/>
    <hyperlink ref="E19" r:id="rId15" display="BloombergNEF Climatescope 2019" xr:uid="{00000000-0004-0000-0300-00000F000000}"/>
    <hyperlink ref="E31" r:id="rId16" xr:uid="{00000000-0004-0000-0300-000010000000}"/>
    <hyperlink ref="E32" r:id="rId17" xr:uid="{00000000-0004-0000-0300-000011000000}"/>
    <hyperlink ref="E30" r:id="rId18" xr:uid="{00000000-0004-0000-0300-000012000000}"/>
  </hyperlinks>
  <pageMargins left="0.7" right="0.7" top="0.75" bottom="0.75" header="0.3" footer="0.3"/>
  <drawing r:id="rId1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906FC-4318-4D54-BEA1-7245BA9EDCA6}">
  <sheetPr codeName="Sheet9"/>
  <dimension ref="A1:L49"/>
  <sheetViews>
    <sheetView showGridLines="0" zoomScaleNormal="100" workbookViewId="0">
      <selection activeCell="A3" sqref="A3"/>
    </sheetView>
  </sheetViews>
  <sheetFormatPr defaultColWidth="9.140625" defaultRowHeight="12.75"/>
  <cols>
    <col min="1" max="1" width="10.7109375" style="278" customWidth="1"/>
    <col min="2" max="5" width="23.7109375" style="278" customWidth="1"/>
    <col min="6" max="6" width="9.140625" style="278"/>
    <col min="7" max="13" width="23.7109375" style="278" customWidth="1"/>
    <col min="14" max="16384" width="9.140625" style="278"/>
  </cols>
  <sheetData>
    <row r="1" spans="1:12" s="24" customFormat="1" ht="38.1" customHeight="1">
      <c r="F1" s="24" t="s">
        <v>623</v>
      </c>
      <c r="H1" s="597" t="s">
        <v>636</v>
      </c>
      <c r="I1" s="598" t="s">
        <v>637</v>
      </c>
      <c r="J1" s="599" t="s">
        <v>638</v>
      </c>
      <c r="K1" s="600" t="s">
        <v>639</v>
      </c>
      <c r="L1" s="601" t="s">
        <v>640</v>
      </c>
    </row>
    <row r="3" spans="1:12" ht="15">
      <c r="A3" s="558"/>
      <c r="B3" s="559"/>
    </row>
    <row r="4" spans="1:12" ht="20.25">
      <c r="A4" s="558"/>
      <c r="B4" s="24" t="s">
        <v>608</v>
      </c>
      <c r="C4" s="24"/>
      <c r="D4" s="45"/>
    </row>
    <row r="5" spans="1:12">
      <c r="A5" s="558"/>
    </row>
    <row r="6" spans="1:12" s="616" customFormat="1">
      <c r="A6" s="629"/>
      <c r="B6" s="626" t="s">
        <v>119</v>
      </c>
      <c r="C6" s="630" t="s">
        <v>79</v>
      </c>
    </row>
    <row r="7" spans="1:12" s="616" customFormat="1">
      <c r="B7" s="627" t="s">
        <v>505</v>
      </c>
      <c r="C7" s="631" t="s">
        <v>33</v>
      </c>
    </row>
    <row r="8" spans="1:12" s="616" customFormat="1">
      <c r="B8" s="627" t="s">
        <v>507</v>
      </c>
      <c r="C8" s="631" t="s">
        <v>509</v>
      </c>
    </row>
    <row r="9" spans="1:12" s="616" customFormat="1">
      <c r="B9" s="628" t="s">
        <v>22</v>
      </c>
      <c r="C9" s="632">
        <v>2023</v>
      </c>
    </row>
    <row r="10" spans="1:12">
      <c r="B10" s="652" t="s">
        <v>641</v>
      </c>
      <c r="C10" s="652"/>
    </row>
    <row r="12" spans="1:12" ht="20.25">
      <c r="B12" s="24" t="s">
        <v>537</v>
      </c>
      <c r="C12" s="24"/>
    </row>
    <row r="13" spans="1:12" ht="38.25">
      <c r="B13" s="553" t="s">
        <v>3</v>
      </c>
      <c r="C13" s="636" t="str">
        <f ca="1">RawData!B49</f>
        <v>Thousand metric tons lithium carbonate equivalent</v>
      </c>
    </row>
    <row r="14" spans="1:12">
      <c r="B14" s="553" t="s">
        <v>508</v>
      </c>
      <c r="C14" s="637" t="str">
        <f>RawData!C49</f>
        <v>The higher, the better</v>
      </c>
    </row>
    <row r="16" spans="1:12" ht="20.25">
      <c r="B16" s="24" t="s">
        <v>506</v>
      </c>
      <c r="C16" s="24"/>
      <c r="D16" s="24"/>
      <c r="E16" s="24"/>
      <c r="G16" s="24" t="s">
        <v>538</v>
      </c>
      <c r="H16" s="24"/>
      <c r="I16" s="24"/>
      <c r="J16" s="24"/>
      <c r="K16" s="24"/>
    </row>
    <row r="18" spans="2:5">
      <c r="B18" s="295" t="s">
        <v>539</v>
      </c>
      <c r="C18" s="295" t="s">
        <v>23</v>
      </c>
      <c r="D18" s="578" t="s">
        <v>241</v>
      </c>
      <c r="E18" s="578" t="s">
        <v>192</v>
      </c>
    </row>
    <row r="19" spans="2:5">
      <c r="B19" s="560" t="s">
        <v>40</v>
      </c>
      <c r="C19" s="542" t="s">
        <v>343</v>
      </c>
      <c r="D19" s="634" cm="1">
        <f t="array" aca="1" ref="D19" ca="1">OFFSET(INDIRECT(RawData!$B$46),MATCH(Metrics!$C19,dynamicRange_Countries,0),RawData!$B$47)</f>
        <v>8</v>
      </c>
      <c r="E19" s="638" cm="1">
        <f t="array" aca="1" ref="E19" ca="1">OFFSET(INDIRECT(RawData!$B$46),MATCH(Metrics!$C19,dynamicRange_Countries,0),RawData!$B$48)</f>
        <v>0</v>
      </c>
    </row>
    <row r="20" spans="2:5">
      <c r="B20" s="161" t="s">
        <v>40</v>
      </c>
      <c r="C20" s="278" t="s">
        <v>344</v>
      </c>
      <c r="D20" s="635" cm="1">
        <f t="array" aca="1" ref="D20" ca="1">OFFSET(INDIRECT(RawData!$B$46),MATCH(Metrics!$C20,dynamicRange_Countries,0),RawData!$B$47)</f>
        <v>8</v>
      </c>
      <c r="E20" s="638" cm="1">
        <f t="array" aca="1" ref="E20" ca="1">OFFSET(INDIRECT(RawData!$B$46),MATCH(Metrics!$C20,dynamicRange_Countries,0),RawData!$B$48)</f>
        <v>0</v>
      </c>
    </row>
    <row r="21" spans="2:5">
      <c r="B21" s="561" t="s">
        <v>40</v>
      </c>
      <c r="C21" s="548" t="s">
        <v>32</v>
      </c>
      <c r="D21" s="639" cm="1">
        <f t="array" aca="1" ref="D21" ca="1">OFFSET(INDIRECT(RawData!$B$46),MATCH(Metrics!$C21,dynamicRange_Countries,0),RawData!$B$47)</f>
        <v>8</v>
      </c>
      <c r="E21" s="640" cm="1">
        <f t="array" aca="1" ref="E21" ca="1">OFFSET(INDIRECT(RawData!$B$46),MATCH(Metrics!$C21,dynamicRange_Countries,0),RawData!$B$48)</f>
        <v>0</v>
      </c>
    </row>
    <row r="22" spans="2:5">
      <c r="B22" s="542" t="s">
        <v>540</v>
      </c>
      <c r="C22" s="542" t="s">
        <v>6</v>
      </c>
      <c r="D22" s="634" cm="1">
        <f t="array" aca="1" ref="D22" ca="1">OFFSET(INDIRECT(RawData!$B$46),MATCH(Metrics!$C22,dynamicRange_Countries,0),RawData!$B$47)</f>
        <v>3</v>
      </c>
      <c r="E22" s="641" cm="1">
        <f t="array" aca="1" ref="E22" ca="1">OFFSET(INDIRECT(RawData!$B$46),MATCH(Metrics!$C22,dynamicRange_Countries,0),RawData!$B$48)</f>
        <v>161.488</v>
      </c>
    </row>
    <row r="23" spans="2:5">
      <c r="B23" s="278" t="s">
        <v>540</v>
      </c>
      <c r="C23" s="278" t="s">
        <v>8</v>
      </c>
      <c r="D23" s="635" cm="1">
        <f t="array" aca="1" ref="D23" ca="1">OFFSET(INDIRECT(RawData!$B$46),MATCH(Metrics!$C23,dynamicRange_Countries,0),RawData!$B$47)</f>
        <v>8</v>
      </c>
      <c r="E23" s="638" cm="1">
        <f t="array" aca="1" ref="E23" ca="1">OFFSET(INDIRECT(RawData!$B$46),MATCH(Metrics!$C23,dynamicRange_Countries,0),RawData!$B$48)</f>
        <v>0</v>
      </c>
    </row>
    <row r="24" spans="2:5">
      <c r="B24" s="548" t="s">
        <v>540</v>
      </c>
      <c r="C24" s="548" t="s">
        <v>14</v>
      </c>
      <c r="D24" s="639" cm="1">
        <f t="array" aca="1" ref="D24" ca="1">OFFSET(INDIRECT(RawData!$B$46),MATCH(Metrics!$C24,dynamicRange_Countries,0),RawData!$B$47)</f>
        <v>8</v>
      </c>
      <c r="E24" s="640" cm="1">
        <f t="array" aca="1" ref="E24" ca="1">OFFSET(INDIRECT(RawData!$B$46),MATCH(Metrics!$C24,dynamicRange_Countries,0),RawData!$B$48)</f>
        <v>0</v>
      </c>
    </row>
    <row r="25" spans="2:5">
      <c r="B25" s="542" t="s">
        <v>541</v>
      </c>
      <c r="C25" s="542" t="s">
        <v>9</v>
      </c>
      <c r="D25" s="634" cm="1">
        <f t="array" aca="1" ref="D25" ca="1">OFFSET(INDIRECT(RawData!$B$46),MATCH(Metrics!$C25,dynamicRange_Countries,0),RawData!$B$47)</f>
        <v>1</v>
      </c>
      <c r="E25" s="641" cm="1">
        <f t="array" aca="1" ref="E25" ca="1">OFFSET(INDIRECT(RawData!$B$46),MATCH(Metrics!$C25,dynamicRange_Countries,0),RawData!$B$48)</f>
        <v>319.58999999999997</v>
      </c>
    </row>
    <row r="26" spans="2:5">
      <c r="B26" s="278" t="s">
        <v>541</v>
      </c>
      <c r="C26" s="278" t="s">
        <v>7</v>
      </c>
      <c r="D26" s="635" cm="1">
        <f t="array" aca="1" ref="D26" ca="1">OFFSET(INDIRECT(RawData!$B$46),MATCH(Metrics!$C26,dynamicRange_Countries,0),RawData!$B$47)</f>
        <v>8</v>
      </c>
      <c r="E26" s="638" cm="1">
        <f t="array" aca="1" ref="E26" ca="1">OFFSET(INDIRECT(RawData!$B$46),MATCH(Metrics!$C26,dynamicRange_Countries,0),RawData!$B$48)</f>
        <v>0</v>
      </c>
    </row>
    <row r="27" spans="2:5">
      <c r="B27" s="278" t="s">
        <v>541</v>
      </c>
      <c r="C27" s="278" t="s">
        <v>10</v>
      </c>
      <c r="D27" s="635" cm="1">
        <f t="array" aca="1" ref="D27" ca="1">OFFSET(INDIRECT(RawData!$B$46),MATCH(Metrics!$C27,dynamicRange_Countries,0),RawData!$B$47)</f>
        <v>8</v>
      </c>
      <c r="E27" s="638" cm="1">
        <f t="array" aca="1" ref="E27" ca="1">OFFSET(INDIRECT(RawData!$B$46),MATCH(Metrics!$C27,dynamicRange_Countries,0),RawData!$B$48)</f>
        <v>0</v>
      </c>
    </row>
    <row r="28" spans="2:5">
      <c r="B28" s="278" t="s">
        <v>541</v>
      </c>
      <c r="C28" s="278" t="s">
        <v>82</v>
      </c>
      <c r="D28" s="635" cm="1">
        <f t="array" aca="1" ref="D28" ca="1">OFFSET(INDIRECT(RawData!$B$46),MATCH(Metrics!$C28,dynamicRange_Countries,0),RawData!$B$47)</f>
        <v>8</v>
      </c>
      <c r="E28" s="638" cm="1">
        <f t="array" aca="1" ref="E28" ca="1">OFFSET(INDIRECT(RawData!$B$46),MATCH(Metrics!$C28,dynamicRange_Countries,0),RawData!$B$48)</f>
        <v>0</v>
      </c>
    </row>
    <row r="29" spans="2:5">
      <c r="B29" s="278" t="s">
        <v>541</v>
      </c>
      <c r="C29" s="278" t="s">
        <v>57</v>
      </c>
      <c r="D29" s="635" cm="1">
        <f t="array" aca="1" ref="D29" ca="1">OFFSET(INDIRECT(RawData!$B$46),MATCH(Metrics!$C29,dynamicRange_Countries,0),RawData!$B$47)</f>
        <v>8</v>
      </c>
      <c r="E29" s="638" cm="1">
        <f t="array" aca="1" ref="E29" ca="1">OFFSET(INDIRECT(RawData!$B$46),MATCH(Metrics!$C29,dynamicRange_Countries,0),RawData!$B$48)</f>
        <v>0</v>
      </c>
    </row>
    <row r="30" spans="2:5">
      <c r="B30" s="548" t="s">
        <v>541</v>
      </c>
      <c r="C30" s="548" t="s">
        <v>58</v>
      </c>
      <c r="D30" s="639" cm="1">
        <f t="array" aca="1" ref="D30" ca="1">OFFSET(INDIRECT(RawData!$B$46),MATCH(Metrics!$C30,dynamicRange_Countries,0),RawData!$B$47)</f>
        <v>8</v>
      </c>
      <c r="E30" s="640" cm="1">
        <f t="array" aca="1" ref="E30" ca="1">OFFSET(INDIRECT(RawData!$B$46),MATCH(Metrics!$C30,dynamicRange_Countries,0),RawData!$B$48)</f>
        <v>0</v>
      </c>
    </row>
    <row r="31" spans="2:5">
      <c r="B31" s="542" t="s">
        <v>5</v>
      </c>
      <c r="C31" s="542" t="s">
        <v>147</v>
      </c>
      <c r="D31" s="634" cm="1">
        <f t="array" aca="1" ref="D31" ca="1">OFFSET(INDIRECT(RawData!$B$46),MATCH(Metrics!$C31,dynamicRange_Countries,0),RawData!$B$47)</f>
        <v>8</v>
      </c>
      <c r="E31" s="641" cm="1">
        <f t="array" aca="1" ref="E31" ca="1">OFFSET(INDIRECT(RawData!$B$46),MATCH(Metrics!$C31,dynamicRange_Countries,0),RawData!$B$48)</f>
        <v>0</v>
      </c>
    </row>
    <row r="32" spans="2:5">
      <c r="B32" s="278" t="s">
        <v>5</v>
      </c>
      <c r="C32" s="278" t="s">
        <v>83</v>
      </c>
      <c r="D32" s="635" cm="1">
        <f t="array" aca="1" ref="D32" ca="1">OFFSET(INDIRECT(RawData!$B$46),MATCH(Metrics!$C32,dynamicRange_Countries,0),RawData!$B$47)</f>
        <v>8</v>
      </c>
      <c r="E32" s="638" cm="1">
        <f t="array" aca="1" ref="E32" ca="1">OFFSET(INDIRECT(RawData!$B$46),MATCH(Metrics!$C32,dynamicRange_Countries,0),RawData!$B$48)</f>
        <v>0</v>
      </c>
    </row>
    <row r="33" spans="2:5">
      <c r="B33" s="278" t="s">
        <v>5</v>
      </c>
      <c r="C33" s="278" t="s">
        <v>26</v>
      </c>
      <c r="D33" s="635" cm="1">
        <f t="array" aca="1" ref="D33" ca="1">OFFSET(INDIRECT(RawData!$B$46),MATCH(Metrics!$C33,dynamicRange_Countries,0),RawData!$B$47)</f>
        <v>8</v>
      </c>
      <c r="E33" s="638" cm="1">
        <f t="array" aca="1" ref="E33" ca="1">OFFSET(INDIRECT(RawData!$B$46),MATCH(Metrics!$C33,dynamicRange_Countries,0),RawData!$B$48)</f>
        <v>0</v>
      </c>
    </row>
    <row r="34" spans="2:5">
      <c r="B34" s="278" t="s">
        <v>5</v>
      </c>
      <c r="C34" s="278" t="s">
        <v>25</v>
      </c>
      <c r="D34" s="635" cm="1">
        <f t="array" aca="1" ref="D34" ca="1">OFFSET(INDIRECT(RawData!$B$46),MATCH(Metrics!$C34,dynamicRange_Countries,0),RawData!$B$47)</f>
        <v>8</v>
      </c>
      <c r="E34" s="638" cm="1">
        <f t="array" aca="1" ref="E34" ca="1">OFFSET(INDIRECT(RawData!$B$46),MATCH(Metrics!$C34,dynamicRange_Countries,0),RawData!$B$48)</f>
        <v>0</v>
      </c>
    </row>
    <row r="35" spans="2:5">
      <c r="B35" s="278" t="s">
        <v>5</v>
      </c>
      <c r="C35" s="278" t="s">
        <v>55</v>
      </c>
      <c r="D35" s="635" cm="1">
        <f t="array" aca="1" ref="D35" ca="1">OFFSET(INDIRECT(RawData!$B$46),MATCH(Metrics!$C35,dynamicRange_Countries,0),RawData!$B$47)</f>
        <v>8</v>
      </c>
      <c r="E35" s="638" cm="1">
        <f t="array" aca="1" ref="E35" ca="1">OFFSET(INDIRECT(RawData!$B$46),MATCH(Metrics!$C35,dynamicRange_Countries,0),RawData!$B$48)</f>
        <v>0</v>
      </c>
    </row>
    <row r="36" spans="2:5">
      <c r="B36" s="278" t="s">
        <v>5</v>
      </c>
      <c r="C36" s="278" t="s">
        <v>339</v>
      </c>
      <c r="D36" s="635" cm="1">
        <f t="array" aca="1" ref="D36" ca="1">OFFSET(INDIRECT(RawData!$B$46),MATCH(Metrics!$C36,dynamicRange_Countries,0),RawData!$B$47)</f>
        <v>8</v>
      </c>
      <c r="E36" s="638" cm="1">
        <f t="array" aca="1" ref="E36" ca="1">OFFSET(INDIRECT(RawData!$B$46),MATCH(Metrics!$C36,dynamicRange_Countries,0),RawData!$B$48)</f>
        <v>0</v>
      </c>
    </row>
    <row r="37" spans="2:5">
      <c r="B37" s="278" t="s">
        <v>5</v>
      </c>
      <c r="C37" s="278" t="s">
        <v>27</v>
      </c>
      <c r="D37" s="635" cm="1">
        <f t="array" aca="1" ref="D37" ca="1">OFFSET(INDIRECT(RawData!$B$46),MATCH(Metrics!$C37,dynamicRange_Countries,0),RawData!$B$47)</f>
        <v>8</v>
      </c>
      <c r="E37" s="638" cm="1">
        <f t="array" aca="1" ref="E37" ca="1">OFFSET(INDIRECT(RawData!$B$46),MATCH(Metrics!$C37,dynamicRange_Countries,0),RawData!$B$48)</f>
        <v>0</v>
      </c>
    </row>
    <row r="38" spans="2:5">
      <c r="B38" s="278" t="s">
        <v>5</v>
      </c>
      <c r="C38" s="278" t="s">
        <v>340</v>
      </c>
      <c r="D38" s="635" cm="1">
        <f t="array" aca="1" ref="D38" ca="1">OFFSET(INDIRECT(RawData!$B$46),MATCH(Metrics!$C38,dynamicRange_Countries,0),RawData!$B$47)</f>
        <v>8</v>
      </c>
      <c r="E38" s="638" cm="1">
        <f t="array" aca="1" ref="E38" ca="1">OFFSET(INDIRECT(RawData!$B$46),MATCH(Metrics!$C38,dynamicRange_Countries,0),RawData!$B$48)</f>
        <v>0</v>
      </c>
    </row>
    <row r="39" spans="2:5">
      <c r="B39" s="278" t="s">
        <v>5</v>
      </c>
      <c r="C39" s="278" t="s">
        <v>28</v>
      </c>
      <c r="D39" s="635" cm="1">
        <f t="array" aca="1" ref="D39" ca="1">OFFSET(INDIRECT(RawData!$B$46),MATCH(Metrics!$C39,dynamicRange_Countries,0),RawData!$B$47)</f>
        <v>8</v>
      </c>
      <c r="E39" s="638" cm="1">
        <f t="array" aca="1" ref="E39" ca="1">OFFSET(INDIRECT(RawData!$B$46),MATCH(Metrics!$C39,dynamicRange_Countries,0),RawData!$B$48)</f>
        <v>0</v>
      </c>
    </row>
    <row r="40" spans="2:5">
      <c r="B40" s="278" t="s">
        <v>5</v>
      </c>
      <c r="C40" s="278" t="s">
        <v>341</v>
      </c>
      <c r="D40" s="635" cm="1">
        <f t="array" aca="1" ref="D40" ca="1">OFFSET(INDIRECT(RawData!$B$46),MATCH(Metrics!$C40,dynamicRange_Countries,0),RawData!$B$47)</f>
        <v>8</v>
      </c>
      <c r="E40" s="638" cm="1">
        <f t="array" aca="1" ref="E40" ca="1">OFFSET(INDIRECT(RawData!$B$46),MATCH(Metrics!$C40,dynamicRange_Countries,0),RawData!$B$48)</f>
        <v>0</v>
      </c>
    </row>
    <row r="41" spans="2:5">
      <c r="B41" s="548" t="s">
        <v>5</v>
      </c>
      <c r="C41" s="548" t="s">
        <v>342</v>
      </c>
      <c r="D41" s="639" cm="1">
        <f t="array" aca="1" ref="D41" ca="1">OFFSET(INDIRECT(RawData!$B$46),MATCH(Metrics!$C41,dynamicRange_Countries,0),RawData!$B$47)</f>
        <v>8</v>
      </c>
      <c r="E41" s="640" cm="1">
        <f t="array" aca="1" ref="E41" ca="1">OFFSET(INDIRECT(RawData!$B$46),MATCH(Metrics!$C41,dynamicRange_Countries,0),RawData!$B$48)</f>
        <v>0</v>
      </c>
    </row>
    <row r="42" spans="2:5">
      <c r="B42" s="542" t="s">
        <v>56</v>
      </c>
      <c r="C42" s="542" t="s">
        <v>29</v>
      </c>
      <c r="D42" s="634" cm="1">
        <f t="array" aca="1" ref="D42" ca="1">OFFSET(INDIRECT(RawData!$B$46),MATCH(Metrics!$C42,dynamicRange_Countries,0),RawData!$B$47)</f>
        <v>7</v>
      </c>
      <c r="E42" s="641" cm="1">
        <f t="array" aca="1" ref="E42" ca="1">OFFSET(INDIRECT(RawData!$B$46),MATCH(Metrics!$C42,dynamicRange_Countries,0),RawData!$B$48)</f>
        <v>1.9490000000000001</v>
      </c>
    </row>
    <row r="43" spans="2:5">
      <c r="B43" s="278" t="s">
        <v>56</v>
      </c>
      <c r="C43" s="278" t="s">
        <v>12</v>
      </c>
      <c r="D43" s="635" cm="1">
        <f t="array" aca="1" ref="D43" ca="1">OFFSET(INDIRECT(RawData!$B$46),MATCH(Metrics!$C43,dynamicRange_Countries,0),RawData!$B$47)</f>
        <v>8</v>
      </c>
      <c r="E43" s="638" cm="1">
        <f t="array" aca="1" ref="E43" ca="1">OFFSET(INDIRECT(RawData!$B$46),MATCH(Metrics!$C43,dynamicRange_Countries,0),RawData!$B$48)</f>
        <v>0</v>
      </c>
    </row>
    <row r="44" spans="2:5">
      <c r="B44" s="548" t="s">
        <v>56</v>
      </c>
      <c r="C44" s="548" t="s">
        <v>345</v>
      </c>
      <c r="D44" s="639" cm="1">
        <f t="array" aca="1" ref="D44" ca="1">OFFSET(INDIRECT(RawData!$B$46),MATCH(Metrics!$C44,dynamicRange_Countries,0),RawData!$B$47)</f>
        <v>6</v>
      </c>
      <c r="E44" s="640" cm="1">
        <f t="array" aca="1" ref="E44" ca="1">OFFSET(INDIRECT(RawData!$B$46),MATCH(Metrics!$C44,dynamicRange_Countries,0),RawData!$B$48)</f>
        <v>5</v>
      </c>
    </row>
    <row r="45" spans="2:5">
      <c r="B45" s="542" t="s">
        <v>86</v>
      </c>
      <c r="C45" s="542" t="s">
        <v>59</v>
      </c>
      <c r="D45" s="634" cm="1">
        <f t="array" aca="1" ref="D45" ca="1">OFFSET(INDIRECT(RawData!$B$46),MATCH(Metrics!$C45,dynamicRange_Countries,0),RawData!$B$47)</f>
        <v>4</v>
      </c>
      <c r="E45" s="641" cm="1">
        <f t="array" aca="1" ref="E45" ca="1">OFFSET(INDIRECT(RawData!$B$46),MATCH(Metrics!$C45,dynamicRange_Countries,0),RawData!$B$48)</f>
        <v>55.3</v>
      </c>
    </row>
    <row r="46" spans="2:5">
      <c r="B46" s="278" t="s">
        <v>86</v>
      </c>
      <c r="C46" s="278" t="s">
        <v>346</v>
      </c>
      <c r="D46" s="635" cm="1">
        <f t="array" aca="1" ref="D46" ca="1">OFFSET(INDIRECT(RawData!$B$46),MATCH(Metrics!$C46,dynamicRange_Countries,0),RawData!$B$47)</f>
        <v>8</v>
      </c>
      <c r="E46" s="638" cm="1">
        <f t="array" aca="1" ref="E46" ca="1">OFFSET(INDIRECT(RawData!$B$46),MATCH(Metrics!$C46,dynamicRange_Countries,0),RawData!$B$48)</f>
        <v>0</v>
      </c>
    </row>
    <row r="47" spans="2:5">
      <c r="B47" s="278" t="s">
        <v>86</v>
      </c>
      <c r="C47" s="278" t="s">
        <v>11</v>
      </c>
      <c r="D47" s="635" cm="1">
        <f t="array" aca="1" ref="D47" ca="1">OFFSET(INDIRECT(RawData!$B$46),MATCH(Metrics!$C47,dynamicRange_Countries,0),RawData!$B$47)</f>
        <v>5</v>
      </c>
      <c r="E47" s="638" cm="1">
        <f t="array" aca="1" ref="E47" ca="1">OFFSET(INDIRECT(RawData!$B$46),MATCH(Metrics!$C47,dynamicRange_Countries,0),RawData!$B$48)</f>
        <v>9.3040000000000003</v>
      </c>
    </row>
    <row r="48" spans="2:5">
      <c r="B48" s="548" t="s">
        <v>86</v>
      </c>
      <c r="C48" s="548" t="s">
        <v>39</v>
      </c>
      <c r="D48" s="639" cm="1">
        <f t="array" aca="1" ref="D48" ca="1">OFFSET(INDIRECT(RawData!$B$46),MATCH(Metrics!$C48,dynamicRange_Countries,0),RawData!$B$47)</f>
        <v>2</v>
      </c>
      <c r="E48" s="640" cm="1">
        <f t="array" aca="1" ref="E48" ca="1">OFFSET(INDIRECT(RawData!$B$46),MATCH(Metrics!$C48,dynamicRange_Countries,0),RawData!$B$48)</f>
        <v>220.92500000000001</v>
      </c>
    </row>
    <row r="49" spans="2:5" ht="25.5" customHeight="1">
      <c r="B49" s="721" t="s">
        <v>642</v>
      </c>
      <c r="C49" s="721"/>
      <c r="D49" s="721"/>
      <c r="E49" s="721"/>
    </row>
  </sheetData>
  <sheetProtection algorithmName="SHA-512" hashValue="2/GkhaHW+CxouUZp+95wbWRYBFeH19WjwDF3gLHnBwUAa+swTtChe+LNUxzLj8nBflXwvD++WiqTZFcb8eOa5g==" saltValue="jpLtfbSondFYqLCrfmMeQw==" spinCount="100000" sheet="1" objects="1" scenarios="1" formatCells="0"/>
  <protectedRanges>
    <protectedRange sqref="C6:D7 C8:C9" name="Range1"/>
  </protectedRanges>
  <mergeCells count="1">
    <mergeCell ref="B49:E49"/>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B42BE07A-4BB4-4172-A338-F963A6C7C91A}">
          <x14:formula1>
            <xm:f>RawData!$B$28:$B$32</xm:f>
          </x14:formula1>
          <xm:sqref>C6</xm:sqref>
        </x14:dataValidation>
        <x14:dataValidation type="list" allowBlank="1" showInputMessage="1" showErrorMessage="1" xr:uid="{E8AD357F-3F85-4D75-B985-DE4C0BCA9638}">
          <x14:formula1>
            <xm:f>INDIRECT(RawData!$C$43)</xm:f>
          </x14:formula1>
          <xm:sqref>C7</xm:sqref>
        </x14:dataValidation>
        <x14:dataValidation type="list" allowBlank="1" showInputMessage="1" showErrorMessage="1" xr:uid="{AAFAF629-9557-4EF7-9398-B1B62F4BA493}">
          <x14:formula1>
            <xm:f>INDIRECT(RawData!$C$44)</xm:f>
          </x14:formula1>
          <xm:sqref>C8</xm:sqref>
        </x14:dataValidation>
        <x14:dataValidation type="list" allowBlank="1" showInputMessage="1" showErrorMessage="1" xr:uid="{A5B5DAE9-99BE-45A6-8418-19AF8C77542E}">
          <x14:formula1>
            <xm:f>RawData!$E$36:$E$37</xm:f>
          </x14:formula1>
          <xm:sqref>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1CEF-23B7-4638-B8D2-FBF2F98A2675}">
  <sheetPr codeName="Sheet4"/>
  <dimension ref="B1:N172"/>
  <sheetViews>
    <sheetView showGridLines="0" zoomScaleNormal="100" workbookViewId="0">
      <selection activeCell="A3" sqref="A3"/>
    </sheetView>
  </sheetViews>
  <sheetFormatPr defaultColWidth="9.140625" defaultRowHeight="12.75"/>
  <cols>
    <col min="1" max="1" width="10.7109375" style="278" customWidth="1"/>
    <col min="2" max="7" width="23.7109375" style="278" customWidth="1"/>
    <col min="8" max="8" width="27.85546875" style="278" customWidth="1"/>
    <col min="9" max="14" width="23.7109375" style="278" customWidth="1"/>
    <col min="15" max="16384" width="9.140625" style="278"/>
  </cols>
  <sheetData>
    <row r="1" spans="2:12" s="24" customFormat="1" ht="38.1" customHeight="1">
      <c r="F1" s="24" t="str" cm="1">
        <f t="array" aca="1" ref="F1" ca="1">IFERROR(MID(CELL("filename",A1),FIND("]",CELL("filename",A1))+1,255),"(Becomes sheet name when saved; delete if not required.)")</f>
        <v>Weighting</v>
      </c>
      <c r="H1" s="597" t="s">
        <v>636</v>
      </c>
      <c r="I1" s="598" t="s">
        <v>637</v>
      </c>
      <c r="J1" s="599" t="s">
        <v>638</v>
      </c>
      <c r="K1" s="600" t="s">
        <v>639</v>
      </c>
      <c r="L1" s="601" t="s">
        <v>640</v>
      </c>
    </row>
    <row r="4" spans="2:12" ht="20.25">
      <c r="B4" s="24" t="s">
        <v>605</v>
      </c>
      <c r="C4" s="24"/>
      <c r="D4" s="24"/>
    </row>
    <row r="6" spans="2:12">
      <c r="B6" s="603" t="s">
        <v>23</v>
      </c>
      <c r="C6" s="605" t="s">
        <v>59</v>
      </c>
      <c r="D6" s="605" t="s">
        <v>59</v>
      </c>
    </row>
    <row r="7" spans="2:12">
      <c r="B7" s="602" t="s">
        <v>22</v>
      </c>
      <c r="C7" s="604">
        <v>2022</v>
      </c>
      <c r="D7" s="604">
        <v>2023</v>
      </c>
    </row>
    <row r="9" spans="2:12" ht="20.25">
      <c r="B9" s="24" t="s">
        <v>654</v>
      </c>
      <c r="C9" s="24"/>
      <c r="D9" s="24"/>
      <c r="E9" s="24"/>
      <c r="F9" s="45"/>
      <c r="G9" s="24" t="s">
        <v>494</v>
      </c>
      <c r="H9" s="24"/>
      <c r="I9" s="24"/>
      <c r="J9" s="24"/>
    </row>
    <row r="11" spans="2:12">
      <c r="B11" s="295" t="s">
        <v>119</v>
      </c>
      <c r="C11" s="579" t="s">
        <v>495</v>
      </c>
      <c r="D11" s="295" t="s">
        <v>496</v>
      </c>
      <c r="E11" s="579" t="s">
        <v>497</v>
      </c>
    </row>
    <row r="12" spans="2:12">
      <c r="B12" s="722" t="s">
        <v>79</v>
      </c>
      <c r="C12" s="737">
        <v>0.2</v>
      </c>
      <c r="D12" s="542" t="s">
        <v>498</v>
      </c>
      <c r="E12" s="543">
        <v>0.2</v>
      </c>
    </row>
    <row r="13" spans="2:12">
      <c r="B13" s="723"/>
      <c r="C13" s="738"/>
      <c r="D13" s="278" t="s">
        <v>499</v>
      </c>
      <c r="E13" s="543">
        <v>0.2</v>
      </c>
    </row>
    <row r="14" spans="2:12">
      <c r="B14" s="723"/>
      <c r="C14" s="738"/>
      <c r="D14" s="278" t="s">
        <v>33</v>
      </c>
      <c r="E14" s="543">
        <v>0.2</v>
      </c>
    </row>
    <row r="15" spans="2:12">
      <c r="B15" s="723"/>
      <c r="C15" s="738"/>
      <c r="D15" s="278" t="s">
        <v>37</v>
      </c>
      <c r="E15" s="543">
        <v>0.2</v>
      </c>
    </row>
    <row r="16" spans="2:12">
      <c r="B16" s="723"/>
      <c r="C16" s="738"/>
      <c r="D16" s="278" t="s">
        <v>35</v>
      </c>
      <c r="E16" s="543">
        <v>0.2</v>
      </c>
    </row>
    <row r="17" spans="2:5">
      <c r="B17" s="724"/>
      <c r="C17" s="742"/>
      <c r="D17" s="544" t="s">
        <v>643</v>
      </c>
      <c r="E17" s="545">
        <f>SUM(E12:E16)</f>
        <v>1</v>
      </c>
    </row>
    <row r="18" spans="2:5">
      <c r="B18" s="722" t="s">
        <v>445</v>
      </c>
      <c r="C18" s="737">
        <v>0.2</v>
      </c>
      <c r="D18" s="542" t="s">
        <v>357</v>
      </c>
      <c r="E18" s="543">
        <f>1/7</f>
        <v>0.14285714285714285</v>
      </c>
    </row>
    <row r="19" spans="2:5">
      <c r="B19" s="723"/>
      <c r="C19" s="738"/>
      <c r="D19" s="278" t="s">
        <v>447</v>
      </c>
      <c r="E19" s="543">
        <f t="shared" ref="E19:E24" si="0">1/7</f>
        <v>0.14285714285714285</v>
      </c>
    </row>
    <row r="20" spans="2:5">
      <c r="B20" s="723"/>
      <c r="C20" s="738"/>
      <c r="D20" s="278" t="s">
        <v>500</v>
      </c>
      <c r="E20" s="543">
        <f t="shared" si="0"/>
        <v>0.14285714285714285</v>
      </c>
    </row>
    <row r="21" spans="2:5">
      <c r="B21" s="723"/>
      <c r="C21" s="738"/>
      <c r="D21" s="278" t="s">
        <v>360</v>
      </c>
      <c r="E21" s="543">
        <f t="shared" si="0"/>
        <v>0.14285714285714285</v>
      </c>
    </row>
    <row r="22" spans="2:5">
      <c r="B22" s="723"/>
      <c r="C22" s="738"/>
      <c r="D22" s="278" t="s">
        <v>501</v>
      </c>
      <c r="E22" s="543">
        <f t="shared" si="0"/>
        <v>0.14285714285714285</v>
      </c>
    </row>
    <row r="23" spans="2:5">
      <c r="B23" s="723"/>
      <c r="C23" s="738"/>
      <c r="D23" s="278" t="s">
        <v>448</v>
      </c>
      <c r="E23" s="543">
        <f t="shared" si="0"/>
        <v>0.14285714285714285</v>
      </c>
    </row>
    <row r="24" spans="2:5">
      <c r="B24" s="723"/>
      <c r="C24" s="738"/>
      <c r="D24" s="278" t="s">
        <v>271</v>
      </c>
      <c r="E24" s="543">
        <f t="shared" si="0"/>
        <v>0.14285714285714285</v>
      </c>
    </row>
    <row r="25" spans="2:5">
      <c r="B25" s="724"/>
      <c r="C25" s="742"/>
      <c r="D25" s="544" t="s">
        <v>643</v>
      </c>
      <c r="E25" s="545">
        <f>SUM(E18:E24)</f>
        <v>0.99999999999999978</v>
      </c>
    </row>
    <row r="26" spans="2:5">
      <c r="B26" s="722" t="s">
        <v>449</v>
      </c>
      <c r="C26" s="737">
        <v>0.2</v>
      </c>
      <c r="D26" s="542" t="s">
        <v>503</v>
      </c>
      <c r="E26" s="543">
        <v>0.5</v>
      </c>
    </row>
    <row r="27" spans="2:5">
      <c r="B27" s="723"/>
      <c r="C27" s="738"/>
      <c r="D27" s="278" t="s">
        <v>168</v>
      </c>
      <c r="E27" s="543">
        <v>0.5</v>
      </c>
    </row>
    <row r="28" spans="2:5">
      <c r="B28" s="724"/>
      <c r="C28" s="742"/>
      <c r="D28" s="544" t="s">
        <v>643</v>
      </c>
      <c r="E28" s="545">
        <f>SUM(E26:E27)</f>
        <v>1</v>
      </c>
    </row>
    <row r="29" spans="2:5">
      <c r="B29" s="722" t="s">
        <v>406</v>
      </c>
      <c r="C29" s="737">
        <v>0.2</v>
      </c>
      <c r="D29" s="542" t="s">
        <v>408</v>
      </c>
      <c r="E29" s="543">
        <f>1/3</f>
        <v>0.33333333333333331</v>
      </c>
    </row>
    <row r="30" spans="2:5">
      <c r="B30" s="723"/>
      <c r="C30" s="738"/>
      <c r="D30" s="278" t="s">
        <v>409</v>
      </c>
      <c r="E30" s="543">
        <f t="shared" ref="E30:E31" si="1">1/3</f>
        <v>0.33333333333333331</v>
      </c>
    </row>
    <row r="31" spans="2:5">
      <c r="B31" s="723"/>
      <c r="C31" s="738"/>
      <c r="D31" s="278" t="s">
        <v>410</v>
      </c>
      <c r="E31" s="543">
        <f t="shared" si="1"/>
        <v>0.33333333333333331</v>
      </c>
    </row>
    <row r="32" spans="2:5">
      <c r="B32" s="724"/>
      <c r="C32" s="738"/>
      <c r="D32" s="544" t="s">
        <v>643</v>
      </c>
      <c r="E32" s="549">
        <f>SUM(E29:E31)</f>
        <v>1</v>
      </c>
    </row>
    <row r="33" spans="2:14">
      <c r="B33" s="739" t="s">
        <v>649</v>
      </c>
      <c r="C33" s="737">
        <v>0.2</v>
      </c>
      <c r="D33" s="542" t="s">
        <v>424</v>
      </c>
      <c r="E33" s="543">
        <f>1/3</f>
        <v>0.33333333333333331</v>
      </c>
    </row>
    <row r="34" spans="2:14">
      <c r="B34" s="740"/>
      <c r="C34" s="738"/>
      <c r="D34" s="278" t="s">
        <v>121</v>
      </c>
      <c r="E34" s="543">
        <f t="shared" ref="E34:E35" si="2">1/3</f>
        <v>0.33333333333333331</v>
      </c>
    </row>
    <row r="35" spans="2:14">
      <c r="B35" s="740"/>
      <c r="C35" s="738"/>
      <c r="D35" s="278" t="s">
        <v>117</v>
      </c>
      <c r="E35" s="543">
        <f t="shared" si="2"/>
        <v>0.33333333333333331</v>
      </c>
    </row>
    <row r="36" spans="2:14">
      <c r="B36" s="741"/>
      <c r="C36" s="742"/>
      <c r="D36" s="544" t="s">
        <v>643</v>
      </c>
      <c r="E36" s="549">
        <f>SUM(E33:E35)</f>
        <v>1</v>
      </c>
    </row>
    <row r="37" spans="2:14">
      <c r="B37" s="550" t="s">
        <v>643</v>
      </c>
      <c r="C37" s="551">
        <f>SUM(C12:C36)</f>
        <v>1</v>
      </c>
      <c r="D37" s="548"/>
      <c r="E37" s="552"/>
    </row>
    <row r="39" spans="2:14" ht="20.25">
      <c r="B39" s="24" t="s">
        <v>504</v>
      </c>
      <c r="C39" s="24"/>
      <c r="D39" s="24"/>
      <c r="E39" s="24"/>
      <c r="F39" s="24"/>
      <c r="G39" s="24"/>
      <c r="H39" s="24"/>
      <c r="I39" s="24"/>
      <c r="J39" s="24"/>
      <c r="K39" s="24"/>
      <c r="L39" s="24"/>
      <c r="M39" s="24"/>
      <c r="N39" s="24"/>
    </row>
    <row r="41" spans="2:14">
      <c r="B41" s="553" t="str">
        <f>C6</f>
        <v>Argentina</v>
      </c>
      <c r="I41" s="553" t="str">
        <f>D6</f>
        <v>Argentina</v>
      </c>
    </row>
    <row r="42" spans="2:14">
      <c r="B42" s="581">
        <f>C7</f>
        <v>2022</v>
      </c>
      <c r="I42" s="581">
        <f>D7</f>
        <v>2023</v>
      </c>
    </row>
    <row r="44" spans="2:14">
      <c r="B44" s="295" t="s">
        <v>119</v>
      </c>
      <c r="C44" s="578" t="s">
        <v>644</v>
      </c>
      <c r="D44" s="578" t="s">
        <v>645</v>
      </c>
      <c r="E44" s="584" t="s">
        <v>505</v>
      </c>
      <c r="F44" s="578" t="s">
        <v>644</v>
      </c>
      <c r="G44" s="578" t="s">
        <v>645</v>
      </c>
      <c r="I44" s="295" t="s">
        <v>119</v>
      </c>
      <c r="J44" s="578" t="s">
        <v>644</v>
      </c>
      <c r="K44" s="578" t="s">
        <v>645</v>
      </c>
      <c r="L44" s="578" t="s">
        <v>505</v>
      </c>
      <c r="M44" s="578" t="s">
        <v>644</v>
      </c>
      <c r="N44" s="578" t="s">
        <v>645</v>
      </c>
    </row>
    <row r="45" spans="2:14" ht="12.75" customHeight="1">
      <c r="B45" s="722" t="s">
        <v>79</v>
      </c>
      <c r="C45" s="734">
        <f ca="1">VLOOKUP($B45&amp;"Total",RawData!$A$52:$AC$115,COLUMN(RawData!$U$49),FALSE)</f>
        <v>11</v>
      </c>
      <c r="D45" s="734">
        <f ca="1">VLOOKUP($B45&amp;"Total",RawData!$A$52:$AC$115,COLUMN(RawData!$V$49),FALSE)</f>
        <v>26</v>
      </c>
      <c r="E45" s="542" t="s">
        <v>34</v>
      </c>
      <c r="F45" s="562">
        <f ca="1">VLOOKUP($B$45&amp;E45&amp;"Total",RawData!$A$52:$AC$115,COLUMN(RawData!$U$49),FALSE)</f>
        <v>15</v>
      </c>
      <c r="G45" s="569">
        <f ca="1">VLOOKUP($B$45&amp;$E45&amp;"Total",RawData!$A$52:$AC$115,COLUMN(RawData!$V$49),FALSE)</f>
        <v>15</v>
      </c>
      <c r="I45" s="722" t="s">
        <v>79</v>
      </c>
      <c r="J45" s="734">
        <f ca="1">VLOOKUP($B45&amp;"Total",RawData!$A$52:$AC$115,COLUMN(RawData!$Z$49),FALSE)</f>
        <v>14</v>
      </c>
      <c r="K45" s="734">
        <f ca="1">VLOOKUP($B45&amp;"Total",RawData!$A$52:$AC$115,COLUMN(RawData!$AA$49),FALSE)</f>
        <v>24</v>
      </c>
      <c r="L45" s="542" t="s">
        <v>34</v>
      </c>
      <c r="M45" s="562">
        <f ca="1">VLOOKUP($B$45&amp;L45&amp;"Total",RawData!$A$52:$AC$115,COLUMN(RawData!$Z$49),FALSE)</f>
        <v>15</v>
      </c>
      <c r="N45" s="569">
        <f ca="1">VLOOKUP($B$45&amp;$E45&amp;"Total",RawData!$A$52:$AC$115,COLUMN(RawData!$AA$49),FALSE)</f>
        <v>15</v>
      </c>
    </row>
    <row r="46" spans="2:14">
      <c r="B46" s="723"/>
      <c r="C46" s="735"/>
      <c r="D46" s="735"/>
      <c r="E46" s="278" t="s">
        <v>499</v>
      </c>
      <c r="F46" s="565">
        <f ca="1">VLOOKUP($B$45&amp;E46&amp;"Total",RawData!$A$52:$AC$115,COLUMN(RawData!$U$49),FALSE)</f>
        <v>14</v>
      </c>
      <c r="G46" s="570">
        <f ca="1">VLOOKUP($B$45&amp;$E46&amp;"Total",RawData!$A$52:$AC$115,COLUMN(RawData!$V$49),FALSE)</f>
        <v>14</v>
      </c>
      <c r="I46" s="723"/>
      <c r="J46" s="735"/>
      <c r="K46" s="735"/>
      <c r="L46" s="278" t="s">
        <v>499</v>
      </c>
      <c r="M46" s="565">
        <f ca="1">VLOOKUP($B$45&amp;L46&amp;"Total",RawData!$A$52:$AC$115,COLUMN(RawData!$Z$49),FALSE)</f>
        <v>10</v>
      </c>
      <c r="N46" s="570">
        <f ca="1">VLOOKUP($B$45&amp;$E46&amp;"Total",RawData!$A$52:$AC$115,COLUMN(RawData!$AA$49),FALSE)</f>
        <v>10</v>
      </c>
    </row>
    <row r="47" spans="2:14">
      <c r="B47" s="723"/>
      <c r="C47" s="735"/>
      <c r="D47" s="735"/>
      <c r="E47" s="278" t="s">
        <v>33</v>
      </c>
      <c r="F47" s="565">
        <f ca="1">VLOOKUP($B$45&amp;E47&amp;"Total",RawData!$A$52:$AC$115,COLUMN(RawData!$U$49),FALSE)</f>
        <v>4</v>
      </c>
      <c r="G47" s="570">
        <f ca="1">VLOOKUP($B$45&amp;$E47&amp;"Total",RawData!$A$52:$AC$115,COLUMN(RawData!$V$49),FALSE)</f>
        <v>14</v>
      </c>
      <c r="I47" s="723"/>
      <c r="J47" s="735"/>
      <c r="K47" s="735"/>
      <c r="L47" s="278" t="s">
        <v>33</v>
      </c>
      <c r="M47" s="565">
        <f ca="1">VLOOKUP($B$45&amp;L47&amp;"Total",RawData!$A$52:$AC$115,COLUMN(RawData!$Z$49),FALSE)</f>
        <v>4</v>
      </c>
      <c r="N47" s="570">
        <f ca="1">VLOOKUP($B$45&amp;$E47&amp;"Total",RawData!$A$52:$AC$115,COLUMN(RawData!$AA$49),FALSE)</f>
        <v>13</v>
      </c>
    </row>
    <row r="48" spans="2:14">
      <c r="B48" s="723"/>
      <c r="C48" s="735"/>
      <c r="D48" s="735"/>
      <c r="E48" s="278" t="s">
        <v>37</v>
      </c>
      <c r="F48" s="565">
        <f ca="1">VLOOKUP($B$45&amp;E48&amp;"Total",RawData!$A$52:$AC$115,COLUMN(RawData!$U$49),FALSE)</f>
        <v>12</v>
      </c>
      <c r="G48" s="570">
        <f ca="1">VLOOKUP($B$45&amp;$E48&amp;"Total",RawData!$A$52:$AC$115,COLUMN(RawData!$V$49),FALSE)</f>
        <v>12</v>
      </c>
      <c r="I48" s="723"/>
      <c r="J48" s="735"/>
      <c r="K48" s="735"/>
      <c r="L48" s="278" t="s">
        <v>37</v>
      </c>
      <c r="M48" s="565">
        <f ca="1">VLOOKUP($B$45&amp;L48&amp;"Total",RawData!$A$52:$AC$115,COLUMN(RawData!$Z$49),FALSE)</f>
        <v>16</v>
      </c>
      <c r="N48" s="570">
        <f ca="1">VLOOKUP($B$45&amp;$E48&amp;"Total",RawData!$A$52:$AC$115,COLUMN(RawData!$AA$49),FALSE)</f>
        <v>16</v>
      </c>
    </row>
    <row r="49" spans="2:14">
      <c r="B49" s="724"/>
      <c r="C49" s="736"/>
      <c r="D49" s="736"/>
      <c r="E49" s="548" t="s">
        <v>35</v>
      </c>
      <c r="F49" s="563">
        <f ca="1">VLOOKUP($B$45&amp;E49&amp;"Total",RawData!$A$52:$AC$115,COLUMN(RawData!$U$49),FALSE)</f>
        <v>13</v>
      </c>
      <c r="G49" s="570">
        <f ca="1">VLOOKUP($B$45&amp;$E49&amp;"Total",RawData!$A$52:$AC$115,COLUMN(RawData!$V$49),FALSE)</f>
        <v>13</v>
      </c>
      <c r="I49" s="724"/>
      <c r="J49" s="736"/>
      <c r="K49" s="736"/>
      <c r="L49" s="548" t="s">
        <v>35</v>
      </c>
      <c r="M49" s="563">
        <f ca="1">VLOOKUP($B$45&amp;L49&amp;"Total",RawData!$A$52:$AC$115,COLUMN(RawData!$Z$49),FALSE)</f>
        <v>14</v>
      </c>
      <c r="N49" s="570">
        <f ca="1">VLOOKUP($B$45&amp;$E49&amp;"Total",RawData!$A$52:$AC$115,COLUMN(RawData!$AA$49),FALSE)</f>
        <v>14</v>
      </c>
    </row>
    <row r="50" spans="2:14">
      <c r="B50" s="728" t="s">
        <v>445</v>
      </c>
      <c r="C50" s="731">
        <f ca="1">VLOOKUP(B50&amp;"Total",RawData!$A$52:$AC$115,COLUMN(RawData!$U$49),FALSE)</f>
        <v>18</v>
      </c>
      <c r="D50" s="731">
        <f ca="1">VLOOKUP(B50&amp;"Total",RawData!$A$52:$AC$115,COLUMN(RawData!$V$49),FALSE)</f>
        <v>18</v>
      </c>
      <c r="E50" s="542" t="s">
        <v>357</v>
      </c>
      <c r="F50" s="574">
        <f ca="1">VLOOKUP($B$50&amp;$E50&amp;"Total",RawData!$A$52:$AC$115,COLUMN(RawData!$U$49),FALSE)</f>
        <v>7</v>
      </c>
      <c r="G50" s="571">
        <f ca="1">VLOOKUP($B$50&amp;$E50&amp;"Total",RawData!$A$52:$AC$115,COLUMN(RawData!$V$49),FALSE)</f>
        <v>7</v>
      </c>
      <c r="I50" s="728" t="s">
        <v>445</v>
      </c>
      <c r="J50" s="731">
        <f ca="1">VLOOKUP(I50&amp;"Total",RawData!$A$52:$AC$115,COLUMN(RawData!$Z$49),FALSE)</f>
        <v>20</v>
      </c>
      <c r="K50" s="731">
        <f ca="1">VLOOKUP(I50&amp;"Total",RawData!$A$52:$AC$115,COLUMN(RawData!$AA$49),FALSE)</f>
        <v>20</v>
      </c>
      <c r="L50" s="542" t="s">
        <v>357</v>
      </c>
      <c r="M50" s="574">
        <f ca="1">VLOOKUP($B$50&amp;$E50&amp;"Total",RawData!$A$52:$AC$115,COLUMN(RawData!$Z$49),FALSE)</f>
        <v>8</v>
      </c>
      <c r="N50" s="571">
        <f ca="1">VLOOKUP($B$50&amp;$E50&amp;"Total",RawData!$A$52:$AC$115,COLUMN(RawData!$AA$49),FALSE)</f>
        <v>8</v>
      </c>
    </row>
    <row r="51" spans="2:14">
      <c r="B51" s="729"/>
      <c r="C51" s="732"/>
      <c r="D51" s="732"/>
      <c r="E51" s="278" t="s">
        <v>447</v>
      </c>
      <c r="F51" s="575">
        <f ca="1">VLOOKUP($B$50&amp;$E51&amp;"Total",RawData!$A$52:$AC$115,COLUMN(RawData!$U$49),FALSE)</f>
        <v>9</v>
      </c>
      <c r="G51" s="572">
        <f ca="1">VLOOKUP($B$50&amp;$E51&amp;"Total",RawData!$A$52:$AC$115,COLUMN(RawData!$V$49),FALSE)</f>
        <v>9</v>
      </c>
      <c r="I51" s="729"/>
      <c r="J51" s="732"/>
      <c r="K51" s="732"/>
      <c r="L51" s="278" t="s">
        <v>447</v>
      </c>
      <c r="M51" s="575">
        <f ca="1">VLOOKUP($B$50&amp;$E51&amp;"Total",RawData!$A$52:$AC$115,COLUMN(RawData!$Z$49),FALSE)</f>
        <v>10</v>
      </c>
      <c r="N51" s="572">
        <f ca="1">VLOOKUP($B$50&amp;$E51&amp;"Total",RawData!$A$52:$AC$115,COLUMN(RawData!$AA$49),FALSE)</f>
        <v>10</v>
      </c>
    </row>
    <row r="52" spans="2:14">
      <c r="B52" s="729"/>
      <c r="C52" s="732"/>
      <c r="D52" s="732"/>
      <c r="E52" s="278" t="s">
        <v>500</v>
      </c>
      <c r="F52" s="575">
        <f ca="1">VLOOKUP($B$50&amp;$E52&amp;"Total",RawData!$A$52:$AC$115,COLUMN(RawData!$U$49),FALSE)</f>
        <v>13</v>
      </c>
      <c r="G52" s="572">
        <f ca="1">VLOOKUP($B$50&amp;$E52&amp;"Total",RawData!$A$52:$AC$115,COLUMN(RawData!$V$49),FALSE)</f>
        <v>13</v>
      </c>
      <c r="I52" s="729"/>
      <c r="J52" s="732"/>
      <c r="K52" s="732"/>
      <c r="L52" s="278" t="s">
        <v>500</v>
      </c>
      <c r="M52" s="575">
        <f ca="1">VLOOKUP($B$50&amp;$E52&amp;"Total",RawData!$A$52:$AC$115,COLUMN(RawData!$Z$49),FALSE)</f>
        <v>20</v>
      </c>
      <c r="N52" s="572">
        <f ca="1">VLOOKUP($B$50&amp;$E52&amp;"Total",RawData!$A$52:$AC$115,COLUMN(RawData!$AA$49),FALSE)</f>
        <v>20</v>
      </c>
    </row>
    <row r="53" spans="2:14">
      <c r="B53" s="729"/>
      <c r="C53" s="732"/>
      <c r="D53" s="732"/>
      <c r="E53" s="278" t="s">
        <v>360</v>
      </c>
      <c r="F53" s="575">
        <f ca="1">VLOOKUP($B$50&amp;$E53&amp;"Total",RawData!$A$52:$AC$115,COLUMN(RawData!$U$49),FALSE)</f>
        <v>9</v>
      </c>
      <c r="G53" s="572">
        <f ca="1">VLOOKUP($B$50&amp;$E53&amp;"Total",RawData!$A$52:$AC$115,COLUMN(RawData!$V$49),FALSE)</f>
        <v>9</v>
      </c>
      <c r="I53" s="729"/>
      <c r="J53" s="732"/>
      <c r="K53" s="732"/>
      <c r="L53" s="278" t="s">
        <v>360</v>
      </c>
      <c r="M53" s="575">
        <f ca="1">VLOOKUP($B$50&amp;$E53&amp;"Total",RawData!$A$52:$AC$115,COLUMN(RawData!$Z$49),FALSE)</f>
        <v>10</v>
      </c>
      <c r="N53" s="572">
        <f ca="1">VLOOKUP($B$50&amp;$E53&amp;"Total",RawData!$A$52:$AC$115,COLUMN(RawData!$AA$49),FALSE)</f>
        <v>10</v>
      </c>
    </row>
    <row r="54" spans="2:14">
      <c r="B54" s="729"/>
      <c r="C54" s="732"/>
      <c r="D54" s="732"/>
      <c r="E54" s="278" t="s">
        <v>60</v>
      </c>
      <c r="F54" s="575">
        <f ca="1">VLOOKUP($B$50&amp;$E54&amp;"Total",RawData!$A$52:$AC$115,COLUMN(RawData!$U$49),FALSE)</f>
        <v>7</v>
      </c>
      <c r="G54" s="572">
        <f ca="1">VLOOKUP($B$50&amp;$E54&amp;"Total",RawData!$A$52:$AC$115,COLUMN(RawData!$V$49),FALSE)</f>
        <v>7</v>
      </c>
      <c r="I54" s="729"/>
      <c r="J54" s="732"/>
      <c r="K54" s="732"/>
      <c r="L54" s="278" t="s">
        <v>501</v>
      </c>
      <c r="M54" s="575">
        <f ca="1">VLOOKUP($B$50&amp;$E54&amp;"Total",RawData!$A$52:$AC$115,COLUMN(RawData!$Z$49),FALSE)</f>
        <v>7</v>
      </c>
      <c r="N54" s="572">
        <f ca="1">VLOOKUP($B$50&amp;$E54&amp;"Total",RawData!$A$52:$AC$115,COLUMN(RawData!$AA$49),FALSE)</f>
        <v>7</v>
      </c>
    </row>
    <row r="55" spans="2:14">
      <c r="B55" s="729"/>
      <c r="C55" s="732"/>
      <c r="D55" s="732"/>
      <c r="E55" s="278" t="s">
        <v>448</v>
      </c>
      <c r="F55" s="575">
        <f ca="1">VLOOKUP($B$50&amp;$E55&amp;"Total",RawData!$A$52:$AC$115,COLUMN(RawData!$U$49),FALSE)</f>
        <v>5</v>
      </c>
      <c r="G55" s="572">
        <f ca="1">VLOOKUP($B$50&amp;$E55&amp;"Total",RawData!$A$52:$AC$115,COLUMN(RawData!$V$49),FALSE)</f>
        <v>5</v>
      </c>
      <c r="I55" s="729"/>
      <c r="J55" s="732"/>
      <c r="K55" s="732"/>
      <c r="L55" s="278" t="s">
        <v>448</v>
      </c>
      <c r="M55" s="575">
        <f ca="1">VLOOKUP($B$50&amp;$E55&amp;"Total",RawData!$A$52:$AC$115,COLUMN(RawData!$Z$49),FALSE)</f>
        <v>5</v>
      </c>
      <c r="N55" s="572">
        <f ca="1">VLOOKUP($B$50&amp;$E55&amp;"Total",RawData!$A$52:$AC$115,COLUMN(RawData!$AA$49),FALSE)</f>
        <v>5</v>
      </c>
    </row>
    <row r="56" spans="2:14">
      <c r="B56" s="730"/>
      <c r="C56" s="733"/>
      <c r="D56" s="733"/>
      <c r="E56" s="548" t="s">
        <v>271</v>
      </c>
      <c r="F56" s="576">
        <f ca="1">VLOOKUP($B$50&amp;$E56&amp;"Total",RawData!$A$52:$AC$115,COLUMN(RawData!$U$49),FALSE)</f>
        <v>7</v>
      </c>
      <c r="G56" s="573">
        <f ca="1">VLOOKUP($B$50&amp;$E56&amp;"Total",RawData!$A$52:$AC$115,COLUMN(RawData!$V$49),FALSE)</f>
        <v>7</v>
      </c>
      <c r="I56" s="730"/>
      <c r="J56" s="733"/>
      <c r="K56" s="733"/>
      <c r="L56" s="548" t="s">
        <v>271</v>
      </c>
      <c r="M56" s="576">
        <f ca="1">VLOOKUP($B$50&amp;$E56&amp;"Total",RawData!$A$52:$AC$115,COLUMN(RawData!$Z$49),FALSE)</f>
        <v>7</v>
      </c>
      <c r="N56" s="573">
        <f ca="1">VLOOKUP($B$50&amp;$E56&amp;"Total",RawData!$A$52:$AC$115,COLUMN(RawData!$AA$49),FALSE)</f>
        <v>7</v>
      </c>
    </row>
    <row r="57" spans="2:14">
      <c r="B57" s="728" t="s">
        <v>449</v>
      </c>
      <c r="C57" s="731">
        <f ca="1">VLOOKUP(B57&amp;"Total",RawData!$A$52:$AC$115,COLUMN(RawData!$U$49),FALSE)</f>
        <v>26</v>
      </c>
      <c r="D57" s="725">
        <f ca="1">VLOOKUP(B57&amp;"Total",RawData!$A$52:$AC$115,COLUMN(RawData!$V$49),FALSE)</f>
        <v>30</v>
      </c>
      <c r="E57" s="542" t="s">
        <v>503</v>
      </c>
      <c r="F57" s="574">
        <f ca="1">VLOOKUP($B$57&amp;$E57&amp;"Total",RawData!$A$52:$AC$115,COLUMN(RawData!$U$49),FALSE)</f>
        <v>27</v>
      </c>
      <c r="G57" s="571">
        <f ca="1">VLOOKUP($B$57&amp;$E57&amp;"Total",RawData!$A$52:$AC$115,COLUMN(RawData!$V$49),FALSE)</f>
        <v>30</v>
      </c>
      <c r="I57" s="728" t="s">
        <v>449</v>
      </c>
      <c r="J57" s="731">
        <f ca="1">VLOOKUP(I57&amp;"Total",RawData!$A$52:$AC$115,COLUMN(RawData!$Z$49),FALSE)</f>
        <v>26</v>
      </c>
      <c r="K57" s="725">
        <f ca="1">VLOOKUP(I57&amp;"Total",RawData!$A$52:$AC$115,COLUMN(RawData!$AA$49),FALSE)</f>
        <v>30</v>
      </c>
      <c r="L57" s="542" t="s">
        <v>503</v>
      </c>
      <c r="M57" s="574">
        <f ca="1">VLOOKUP($B$57&amp;$E57&amp;"Total",RawData!$A$52:$AC$115,COLUMN(RawData!$Z$49),FALSE)</f>
        <v>27</v>
      </c>
      <c r="N57" s="571">
        <f ca="1">VLOOKUP($B$57&amp;$E57&amp;"Total",RawData!$A$52:$AC$115,COLUMN(RawData!$AA$49),FALSE)</f>
        <v>30</v>
      </c>
    </row>
    <row r="58" spans="2:14">
      <c r="B58" s="730"/>
      <c r="C58" s="733"/>
      <c r="D58" s="727"/>
      <c r="E58" s="548" t="s">
        <v>168</v>
      </c>
      <c r="F58" s="577">
        <f ca="1">VLOOKUP($B$57&amp;$E58&amp;"Total",RawData!$A$52:$AC$115,COLUMN(RawData!$U$49),FALSE)</f>
        <v>5.0000000000000018</v>
      </c>
      <c r="G58" s="573">
        <f ca="1">VLOOKUP($B$57&amp;$E58&amp;"Total",RawData!$A$52:$AC$115,COLUMN(RawData!$V$49),FALSE)</f>
        <v>6.0000000000000009</v>
      </c>
      <c r="I58" s="730"/>
      <c r="J58" s="733"/>
      <c r="K58" s="727"/>
      <c r="L58" s="548" t="s">
        <v>168</v>
      </c>
      <c r="M58" s="577">
        <f ca="1">VLOOKUP($B$57&amp;$E58&amp;"Total",RawData!$A$52:$AC$115,COLUMN(RawData!$Z$49),FALSE)</f>
        <v>5.0000000000000018</v>
      </c>
      <c r="N58" s="573">
        <f ca="1">VLOOKUP($B$57&amp;$E58&amp;"Total",RawData!$A$52:$AC$115,COLUMN(RawData!$AA$49),FALSE)</f>
        <v>6.0000000000000009</v>
      </c>
    </row>
    <row r="59" spans="2:14">
      <c r="B59" s="728" t="s">
        <v>406</v>
      </c>
      <c r="C59" s="731">
        <f ca="1">VLOOKUP(B59&amp;"Total",RawData!$A$52:$AC$115,COLUMN(RawData!$U$49),FALSE)</f>
        <v>18</v>
      </c>
      <c r="D59" s="725">
        <f ca="1">VLOOKUP(B59&amp;"Total",RawData!$A$52:$AC$115,COLUMN(RawData!$V$49),FALSE)</f>
        <v>30</v>
      </c>
      <c r="E59" s="542" t="s">
        <v>408</v>
      </c>
      <c r="F59" s="574">
        <f ca="1">VLOOKUP($B$59&amp;$E59&amp;"Total",RawData!$A$52:$AC$115,COLUMN(RawData!$U$49),FALSE)</f>
        <v>15</v>
      </c>
      <c r="G59" s="571">
        <f ca="1">VLOOKUP($B$59&amp;$E59&amp;"Total",RawData!$A$52:$AC$115,COLUMN(RawData!$V$49),FALSE)</f>
        <v>30</v>
      </c>
      <c r="I59" s="728" t="s">
        <v>406</v>
      </c>
      <c r="J59" s="731">
        <f ca="1">VLOOKUP(I59&amp;"Total",RawData!$A$52:$AC$115,COLUMN(RawData!$Z$49),FALSE)</f>
        <v>18</v>
      </c>
      <c r="K59" s="725">
        <f ca="1">VLOOKUP(I59&amp;"Total",RawData!$A$52:$AC$115,COLUMN(RawData!$AA$49),FALSE)</f>
        <v>30</v>
      </c>
      <c r="L59" s="542" t="s">
        <v>408</v>
      </c>
      <c r="M59" s="574">
        <f ca="1">VLOOKUP($B$59&amp;$E59&amp;"Total",RawData!$A$52:$AC$115,COLUMN(RawData!$Z$49),FALSE)</f>
        <v>18</v>
      </c>
      <c r="N59" s="571">
        <f ca="1">VLOOKUP($B$59&amp;$E59&amp;"Total",RawData!$A$52:$AC$115,COLUMN(RawData!$AA$49),FALSE)</f>
        <v>30</v>
      </c>
    </row>
    <row r="60" spans="2:14">
      <c r="B60" s="729"/>
      <c r="C60" s="732"/>
      <c r="D60" s="726"/>
      <c r="E60" s="278" t="s">
        <v>409</v>
      </c>
      <c r="F60" s="575">
        <f ca="1">VLOOKUP($B$59&amp;$E60&amp;"Total",RawData!$A$52:$AC$115,COLUMN(RawData!$U$49),FALSE)</f>
        <v>17</v>
      </c>
      <c r="G60" s="572">
        <f ca="1">VLOOKUP($B$59&amp;$E60&amp;"Total",RawData!$A$52:$AC$115,COLUMN(RawData!$V$49),FALSE)</f>
        <v>28</v>
      </c>
      <c r="I60" s="729"/>
      <c r="J60" s="732"/>
      <c r="K60" s="726"/>
      <c r="L60" s="278" t="s">
        <v>409</v>
      </c>
      <c r="M60" s="575">
        <f ca="1">VLOOKUP($B$59&amp;$E60&amp;"Total",RawData!$A$52:$AC$115,COLUMN(RawData!$Z$49),FALSE)</f>
        <v>15</v>
      </c>
      <c r="N60" s="572">
        <f ca="1">VLOOKUP($B$59&amp;$E60&amp;"Total",RawData!$A$52:$AC$115,COLUMN(RawData!$AA$49),FALSE)</f>
        <v>30</v>
      </c>
    </row>
    <row r="61" spans="2:14">
      <c r="B61" s="730"/>
      <c r="C61" s="733"/>
      <c r="D61" s="727"/>
      <c r="E61" s="548" t="s">
        <v>410</v>
      </c>
      <c r="F61" s="576">
        <f ca="1">VLOOKUP($B$59&amp;$E61&amp;"Total",RawData!$A$52:$AC$115,COLUMN(RawData!$U$49),FALSE)</f>
        <v>25</v>
      </c>
      <c r="G61" s="573">
        <f ca="1">VLOOKUP($B$59&amp;$E61&amp;"Total",RawData!$A$52:$AC$115,COLUMN(RawData!$V$49),FALSE)</f>
        <v>30</v>
      </c>
      <c r="I61" s="730"/>
      <c r="J61" s="733"/>
      <c r="K61" s="727"/>
      <c r="L61" s="548" t="s">
        <v>410</v>
      </c>
      <c r="M61" s="576">
        <f ca="1">VLOOKUP($B$59&amp;$E61&amp;"Total",RawData!$A$52:$AC$115,COLUMN(RawData!$Z$49),FALSE)</f>
        <v>25</v>
      </c>
      <c r="N61" s="573">
        <f ca="1">VLOOKUP($B$59&amp;$E61&amp;"Total",RawData!$A$52:$AC$115,COLUMN(RawData!$AA$49),FALSE)</f>
        <v>30</v>
      </c>
    </row>
    <row r="62" spans="2:14">
      <c r="B62" s="728" t="s">
        <v>325</v>
      </c>
      <c r="C62" s="731">
        <f ca="1">VLOOKUP(B62&amp;"Total",RawData!$A$52:$AC$115,COLUMN(RawData!$U$49),FALSE)</f>
        <v>25</v>
      </c>
      <c r="D62" s="725">
        <f ca="1">VLOOKUP(B62&amp;"Total",RawData!$A$52:$AC$115,COLUMN(RawData!$V$49),FALSE)</f>
        <v>30</v>
      </c>
      <c r="E62" s="542" t="s">
        <v>424</v>
      </c>
      <c r="F62" s="574">
        <f ca="1">VLOOKUP($B$62&amp;$E62&amp;"Total",RawData!$A$52:$AC$115,COLUMN(RawData!$U$49),FALSE)</f>
        <v>24</v>
      </c>
      <c r="G62" s="571">
        <f ca="1">VLOOKUP($B$62&amp;$E62&amp;"Total",RawData!$A$52:$AC$115,COLUMN(RawData!$V$49),FALSE)</f>
        <v>30</v>
      </c>
      <c r="I62" s="728" t="s">
        <v>325</v>
      </c>
      <c r="J62" s="731">
        <f ca="1">VLOOKUP(I62&amp;"Total",RawData!$A$52:$AC$115,COLUMN(RawData!$Z$49),FALSE)</f>
        <v>27</v>
      </c>
      <c r="K62" s="725">
        <f ca="1">VLOOKUP(I62&amp;"Total",RawData!$A$52:$AC$115,COLUMN(RawData!$AA$49),FALSE)</f>
        <v>30</v>
      </c>
      <c r="L62" s="542" t="s">
        <v>424</v>
      </c>
      <c r="M62" s="574">
        <f ca="1">VLOOKUP($B$62&amp;$E62&amp;"Total",RawData!$A$52:$AC$115,COLUMN(RawData!$Z$49),FALSE)</f>
        <v>22</v>
      </c>
      <c r="N62" s="571">
        <f ca="1">VLOOKUP($B$62&amp;$E62&amp;"Total",RawData!$A$52:$AC$115,COLUMN(RawData!$AA$49),FALSE)</f>
        <v>30</v>
      </c>
    </row>
    <row r="63" spans="2:14">
      <c r="B63" s="729"/>
      <c r="C63" s="732"/>
      <c r="D63" s="726"/>
      <c r="E63" s="278" t="s">
        <v>121</v>
      </c>
      <c r="F63" s="575">
        <f ca="1">VLOOKUP($B$62&amp;$E63&amp;"Total",RawData!$A$52:$AC$115,COLUMN(RawData!$U$49),FALSE)</f>
        <v>12</v>
      </c>
      <c r="G63" s="572">
        <f ca="1">VLOOKUP($B$62&amp;$E63&amp;"Total",RawData!$A$52:$AC$115,COLUMN(RawData!$V$49),FALSE)</f>
        <v>30</v>
      </c>
      <c r="I63" s="729"/>
      <c r="J63" s="732"/>
      <c r="K63" s="726"/>
      <c r="L63" s="278" t="s">
        <v>121</v>
      </c>
      <c r="M63" s="575">
        <f ca="1">VLOOKUP($B$62&amp;$E63&amp;"Total",RawData!$A$52:$AC$115,COLUMN(RawData!$Z$49),FALSE)</f>
        <v>11</v>
      </c>
      <c r="N63" s="572">
        <f ca="1">VLOOKUP($B$62&amp;$E63&amp;"Total",RawData!$A$52:$AC$115,COLUMN(RawData!$AA$49),FALSE)</f>
        <v>30</v>
      </c>
    </row>
    <row r="64" spans="2:14">
      <c r="B64" s="730"/>
      <c r="C64" s="733"/>
      <c r="D64" s="727"/>
      <c r="E64" s="548" t="s">
        <v>117</v>
      </c>
      <c r="F64" s="576">
        <f ca="1">VLOOKUP($B$62&amp;$E64&amp;"Total",RawData!$A$52:$AC$115,COLUMN(RawData!$U$49),FALSE)</f>
        <v>27</v>
      </c>
      <c r="G64" s="573">
        <f ca="1">VLOOKUP($B$62&amp;$E64&amp;"Total",RawData!$A$52:$AC$115,COLUMN(RawData!$V$49),FALSE)</f>
        <v>30</v>
      </c>
      <c r="I64" s="730"/>
      <c r="J64" s="733"/>
      <c r="K64" s="727"/>
      <c r="L64" s="548" t="s">
        <v>117</v>
      </c>
      <c r="M64" s="576">
        <f ca="1">VLOOKUP($B$62&amp;$E64&amp;"Total",RawData!$A$52:$AC$115,COLUMN(RawData!$Z$49),FALSE)</f>
        <v>28</v>
      </c>
      <c r="N64" s="573">
        <f ca="1">VLOOKUP($B$62&amp;$E64&amp;"Total",RawData!$A$52:$AC$115,COLUMN(RawData!$AA$49),FALSE)</f>
        <v>30</v>
      </c>
    </row>
    <row r="65" spans="2:14">
      <c r="B65" s="645" t="s">
        <v>650</v>
      </c>
      <c r="C65" s="646"/>
      <c r="D65" s="647"/>
      <c r="E65" s="648"/>
      <c r="F65" s="649"/>
      <c r="G65" s="647"/>
      <c r="I65" s="645" t="s">
        <v>650</v>
      </c>
      <c r="J65" s="646"/>
      <c r="K65" s="647"/>
      <c r="L65" s="648"/>
      <c r="M65" s="649"/>
      <c r="N65" s="647"/>
    </row>
    <row r="67" spans="2:14" ht="20.25">
      <c r="B67" s="24" t="s">
        <v>506</v>
      </c>
      <c r="C67" s="24"/>
      <c r="D67" s="548"/>
      <c r="E67" s="548"/>
      <c r="F67" s="548"/>
      <c r="G67" s="548"/>
      <c r="H67" s="548"/>
      <c r="I67" s="548"/>
      <c r="J67" s="548"/>
      <c r="K67" s="548"/>
      <c r="L67" s="548"/>
    </row>
    <row r="69" spans="2:14" ht="12.75" customHeight="1">
      <c r="B69" s="553" t="str">
        <f>C6</f>
        <v>Argentina</v>
      </c>
      <c r="J69" s="554"/>
      <c r="K69" s="554"/>
    </row>
    <row r="70" spans="2:14">
      <c r="B70" s="581">
        <f>C7</f>
        <v>2022</v>
      </c>
    </row>
    <row r="71" spans="2:14">
      <c r="B71" s="581"/>
    </row>
    <row r="72" spans="2:14">
      <c r="B72" s="613" t="s">
        <v>119</v>
      </c>
      <c r="C72" s="613" t="s">
        <v>496</v>
      </c>
      <c r="D72" s="613" t="s">
        <v>507</v>
      </c>
      <c r="E72" s="578" t="s">
        <v>644</v>
      </c>
      <c r="F72" s="578" t="s">
        <v>645</v>
      </c>
      <c r="G72" s="578" t="s">
        <v>192</v>
      </c>
      <c r="H72" s="578" t="s">
        <v>3</v>
      </c>
      <c r="I72" s="578" t="s">
        <v>646</v>
      </c>
      <c r="J72" s="578" t="s">
        <v>647</v>
      </c>
      <c r="K72" s="578" t="s">
        <v>648</v>
      </c>
    </row>
    <row r="73" spans="2:14">
      <c r="B73" s="722" t="s">
        <v>79</v>
      </c>
      <c r="C73" s="722" t="s">
        <v>34</v>
      </c>
      <c r="D73" s="594" t="s">
        <v>333</v>
      </c>
      <c r="E73" s="591">
        <f ca="1">VLOOKUP(RawData!$F127,RawData!$A$52:$AC$115,COLUMN(RawData!U51),FALSE)</f>
        <v>13</v>
      </c>
      <c r="F73" s="591">
        <f ca="1">VLOOKUP(RawData!$F127,RawData!$A$52:$AC$115,COLUMN(RawData!V51),FALSE)</f>
        <v>13</v>
      </c>
      <c r="G73" s="617">
        <f ca="1">VLOOKUP(RawData!$F127,RawData!$A$52:$AC$115,COLUMN(RawData!T51),FALSE)</f>
        <v>0</v>
      </c>
      <c r="H73" s="618" t="str">
        <f ca="1">VLOOKUP(RawData!$F127,RawData!$A$52:$AC$115,COLUMN(RawData!J51),FALSE)</f>
        <v>Thousand metric tons</v>
      </c>
      <c r="I73" s="591" t="str">
        <f ca="1">OFFSET(Sources!F8,0,RawData!$C$37*2)</f>
        <v>The higher, the better</v>
      </c>
      <c r="J73" s="619">
        <f ca="1">VLOOKUP(RawData!$F127,RawData!$A$52:$AC$115,COLUMN(RawData!W51),FALSE)</f>
        <v>3500</v>
      </c>
      <c r="K73" s="617">
        <f ca="1">VLOOKUP(RawData!$F127,RawData!$A$52:$AC$115,COLUMN(RawData!X51),FALSE)</f>
        <v>0</v>
      </c>
    </row>
    <row r="74" spans="2:14">
      <c r="B74" s="723"/>
      <c r="C74" s="723"/>
      <c r="D74" s="595" t="s">
        <v>509</v>
      </c>
      <c r="E74" s="592">
        <f ca="1">VLOOKUP(RawData!$F128,RawData!$A$52:$AC$115,COLUMN(RawData!U52),FALSE)</f>
        <v>9</v>
      </c>
      <c r="F74" s="592">
        <f ca="1">VLOOKUP(RawData!$F128,RawData!$A$52:$AC$115,COLUMN(RawData!V52),FALSE)</f>
        <v>9</v>
      </c>
      <c r="G74" s="620">
        <f ca="1">VLOOKUP(RawData!$F128,RawData!$A$52:$AC$115,COLUMN(RawData!T52),FALSE)</f>
        <v>0</v>
      </c>
      <c r="H74" s="621" t="str">
        <f ca="1">VLOOKUP(RawData!$F128,RawData!$A$52:$AC$115,COLUMN(RawData!J52),FALSE)</f>
        <v>Thousand metric tons</v>
      </c>
      <c r="I74" s="592" t="str">
        <f ca="1">OFFSET(Sources!F9,0,RawData!$C$37*2)</f>
        <v>The higher, the better</v>
      </c>
      <c r="J74" s="622">
        <f ca="1">VLOOKUP(RawData!$F128,RawData!$A$52:$AC$115,COLUMN(RawData!W52),FALSE)</f>
        <v>120.9974</v>
      </c>
      <c r="K74" s="620">
        <f ca="1">VLOOKUP(RawData!$F128,RawData!$A$52:$AC$115,COLUMN(RawData!X52),FALSE)</f>
        <v>0</v>
      </c>
    </row>
    <row r="75" spans="2:14">
      <c r="B75" s="723"/>
      <c r="C75" s="723"/>
      <c r="D75" s="595" t="s">
        <v>510</v>
      </c>
      <c r="E75" s="592">
        <f ca="1">VLOOKUP(RawData!$F129,RawData!$A$52:$AC$115,COLUMN(RawData!U53),FALSE)</f>
        <v>6</v>
      </c>
      <c r="F75" s="592">
        <f ca="1">VLOOKUP(RawData!$F129,RawData!$A$52:$AC$115,COLUMN(RawData!V53),FALSE)</f>
        <v>6</v>
      </c>
      <c r="G75" s="620">
        <f ca="1">VLOOKUP(RawData!$F129,RawData!$A$52:$AC$115,COLUMN(RawData!T53),FALSE)</f>
        <v>0</v>
      </c>
      <c r="H75" s="621" t="str">
        <f ca="1">VLOOKUP(RawData!$F129,RawData!$A$52:$AC$115,COLUMN(RawData!J53),FALSE)</f>
        <v>Thousand metric tons</v>
      </c>
      <c r="I75" s="592" t="str">
        <f ca="1">OFFSET(Sources!F10,0,RawData!$C$37*2)</f>
        <v>The higher, the better</v>
      </c>
      <c r="J75" s="622">
        <f ca="1">VLOOKUP(RawData!$F129,RawData!$A$52:$AC$115,COLUMN(RawData!W53),FALSE)</f>
        <v>117.77500000250002</v>
      </c>
      <c r="K75" s="620">
        <f ca="1">VLOOKUP(RawData!$F129,RawData!$A$52:$AC$115,COLUMN(RawData!X53),FALSE)</f>
        <v>0</v>
      </c>
    </row>
    <row r="76" spans="2:14">
      <c r="B76" s="723"/>
      <c r="C76" s="723" t="s">
        <v>499</v>
      </c>
      <c r="D76" s="595" t="s">
        <v>333</v>
      </c>
      <c r="E76" s="592">
        <f ca="1">VLOOKUP(RawData!$F130,RawData!$A$52:$AC$115,COLUMN(RawData!U54),FALSE)</f>
        <v>11</v>
      </c>
      <c r="F76" s="592">
        <f ca="1">VLOOKUP(RawData!$F130,RawData!$A$52:$AC$115,COLUMN(RawData!V54),FALSE)</f>
        <v>11</v>
      </c>
      <c r="G76" s="620">
        <f ca="1">VLOOKUP(RawData!$F130,RawData!$A$52:$AC$115,COLUMN(RawData!T54),FALSE)</f>
        <v>0</v>
      </c>
      <c r="H76" s="621" t="str">
        <f ca="1">VLOOKUP(RawData!$F130,RawData!$A$52:$AC$115,COLUMN(RawData!J54),FALSE)</f>
        <v>Thousand metric tons</v>
      </c>
      <c r="I76" s="592" t="str">
        <f ca="1">OFFSET(Sources!F11,0,RawData!$C$37*2)</f>
        <v>The higher, the better</v>
      </c>
      <c r="J76" s="622">
        <f ca="1">VLOOKUP(RawData!$F130,RawData!$A$52:$AC$115,COLUMN(RawData!W54),FALSE)</f>
        <v>90000</v>
      </c>
      <c r="K76" s="620">
        <f ca="1">VLOOKUP(RawData!$F130,RawData!$A$52:$AC$115,COLUMN(RawData!X54),FALSE)</f>
        <v>0</v>
      </c>
    </row>
    <row r="77" spans="2:14">
      <c r="B77" s="723"/>
      <c r="C77" s="723"/>
      <c r="D77" s="595" t="s">
        <v>509</v>
      </c>
      <c r="E77" s="592">
        <f ca="1">VLOOKUP(RawData!$F131,RawData!$A$52:$AC$115,COLUMN(RawData!U55),FALSE)</f>
        <v>10</v>
      </c>
      <c r="F77" s="592">
        <f ca="1">VLOOKUP(RawData!$F131,RawData!$A$52:$AC$115,COLUMN(RawData!V55),FALSE)</f>
        <v>10</v>
      </c>
      <c r="G77" s="620">
        <f ca="1">VLOOKUP(RawData!$F131,RawData!$A$52:$AC$115,COLUMN(RawData!T55),FALSE)</f>
        <v>0</v>
      </c>
      <c r="H77" s="621" t="str">
        <f ca="1">VLOOKUP(RawData!$F131,RawData!$A$52:$AC$115,COLUMN(RawData!J55),FALSE)</f>
        <v>Thousand metric tons</v>
      </c>
      <c r="I77" s="592" t="str">
        <f ca="1">OFFSET(Sources!F12,0,RawData!$C$37*2)</f>
        <v>The higher, the better</v>
      </c>
      <c r="J77" s="622">
        <f ca="1">VLOOKUP(RawData!$F131,RawData!$A$52:$AC$115,COLUMN(RawData!W55),FALSE)</f>
        <v>820</v>
      </c>
      <c r="K77" s="620">
        <f ca="1">VLOOKUP(RawData!$F131,RawData!$A$52:$AC$115,COLUMN(RawData!X55),FALSE)</f>
        <v>0</v>
      </c>
    </row>
    <row r="78" spans="2:14">
      <c r="B78" s="723"/>
      <c r="C78" s="723"/>
      <c r="D78" s="595" t="s">
        <v>510</v>
      </c>
      <c r="E78" s="592">
        <f ca="1">VLOOKUP(RawData!$F132,RawData!$A$52:$AC$115,COLUMN(RawData!U56),FALSE)</f>
        <v>9</v>
      </c>
      <c r="F78" s="592">
        <f ca="1">VLOOKUP(RawData!$F132,RawData!$A$52:$AC$115,COLUMN(RawData!V56),FALSE)</f>
        <v>9</v>
      </c>
      <c r="G78" s="620">
        <f ca="1">VLOOKUP(RawData!$F132,RawData!$A$52:$AC$115,COLUMN(RawData!T56),FALSE)</f>
        <v>0</v>
      </c>
      <c r="H78" s="621" t="str">
        <f ca="1">VLOOKUP(RawData!$F132,RawData!$A$52:$AC$115,COLUMN(RawData!J56),FALSE)</f>
        <v>Thousand metric tons</v>
      </c>
      <c r="I78" s="592" t="str">
        <f ca="1">OFFSET(Sources!F13,0,RawData!$C$37*2)</f>
        <v>The higher, the better</v>
      </c>
      <c r="J78" s="622">
        <f ca="1">VLOOKUP(RawData!$F132,RawData!$A$52:$AC$115,COLUMN(RawData!W56),FALSE)</f>
        <v>820.33</v>
      </c>
      <c r="K78" s="620">
        <f ca="1">VLOOKUP(RawData!$F132,RawData!$A$52:$AC$115,COLUMN(RawData!X56),FALSE)</f>
        <v>0</v>
      </c>
    </row>
    <row r="79" spans="2:14">
      <c r="B79" s="723"/>
      <c r="C79" s="723" t="s">
        <v>33</v>
      </c>
      <c r="D79" s="595" t="s">
        <v>333</v>
      </c>
      <c r="E79" s="592">
        <f ca="1">VLOOKUP(RawData!$F133,RawData!$A$52:$AC$115,COLUMN(RawData!U57),FALSE)</f>
        <v>3</v>
      </c>
      <c r="F79" s="592">
        <f ca="1">VLOOKUP(RawData!$F133,RawData!$A$52:$AC$115,COLUMN(RawData!V57),FALSE)</f>
        <v>13</v>
      </c>
      <c r="G79" s="620">
        <f ca="1">VLOOKUP(RawData!$F133,RawData!$A$52:$AC$115,COLUMN(RawData!T57),FALSE)</f>
        <v>2200</v>
      </c>
      <c r="H79" s="621" t="str">
        <f ca="1">VLOOKUP(RawData!$F133,RawData!$A$52:$AC$115,COLUMN(RawData!J57),FALSE)</f>
        <v>Thousand metric tons</v>
      </c>
      <c r="I79" s="592" t="str">
        <f ca="1">OFFSET(Sources!F14,0,RawData!$C$37*2)</f>
        <v>The higher, the better</v>
      </c>
      <c r="J79" s="622">
        <f ca="1">VLOOKUP(RawData!$F133,RawData!$A$52:$AC$115,COLUMN(RawData!W57),FALSE)</f>
        <v>9200</v>
      </c>
      <c r="K79" s="620">
        <f ca="1">VLOOKUP(RawData!$F133,RawData!$A$52:$AC$115,COLUMN(RawData!X57),FALSE)</f>
        <v>0</v>
      </c>
    </row>
    <row r="80" spans="2:14" s="554" customFormat="1" ht="25.5">
      <c r="B80" s="723"/>
      <c r="C80" s="723"/>
      <c r="D80" s="616" t="s">
        <v>509</v>
      </c>
      <c r="E80" s="621">
        <f ca="1">VLOOKUP(RawData!$F134,RawData!$A$52:$AC$115,COLUMN(RawData!U58),FALSE)</f>
        <v>4</v>
      </c>
      <c r="F80" s="621">
        <f ca="1">VLOOKUP(RawData!$F134,RawData!$A$52:$AC$115,COLUMN(RawData!V58),FALSE)</f>
        <v>8</v>
      </c>
      <c r="G80" s="659">
        <f ca="1">VLOOKUP(RawData!$F134,RawData!$A$52:$AC$115,COLUMN(RawData!T58),FALSE)</f>
        <v>50.05</v>
      </c>
      <c r="H80" s="621" t="str">
        <f ca="1">VLOOKUP(RawData!$F134,RawData!$A$52:$AC$115,COLUMN(RawData!J58),FALSE)</f>
        <v>Thousand metric tons lithium carbonate equivalent</v>
      </c>
      <c r="I80" s="621" t="str">
        <f ca="1">OFFSET(Sources!F15,0,RawData!$C$37*2)</f>
        <v>The higher, the better</v>
      </c>
      <c r="J80" s="660">
        <f ca="1">VLOOKUP(RawData!$F134,RawData!$A$52:$AC$115,COLUMN(RawData!W58),FALSE)</f>
        <v>263.89119592500009</v>
      </c>
      <c r="K80" s="659">
        <f ca="1">VLOOKUP(RawData!$F134,RawData!$A$52:$AC$115,COLUMN(RawData!X58),FALSE)</f>
        <v>0</v>
      </c>
    </row>
    <row r="81" spans="2:11" s="554" customFormat="1" ht="25.5">
      <c r="B81" s="723"/>
      <c r="C81" s="723"/>
      <c r="D81" s="616" t="s">
        <v>510</v>
      </c>
      <c r="E81" s="621">
        <f ca="1">VLOOKUP(RawData!$F135,RawData!$A$52:$AC$115,COLUMN(RawData!U59),FALSE)</f>
        <v>3</v>
      </c>
      <c r="F81" s="621">
        <f ca="1">VLOOKUP(RawData!$F135,RawData!$A$52:$AC$115,COLUMN(RawData!V59),FALSE)</f>
        <v>9</v>
      </c>
      <c r="G81" s="659">
        <f ca="1">VLOOKUP(RawData!$F135,RawData!$A$52:$AC$115,COLUMN(RawData!T59),FALSE)</f>
        <v>63</v>
      </c>
      <c r="H81" s="621" t="str">
        <f ca="1">VLOOKUP(RawData!$F135,RawData!$A$52:$AC$115,COLUMN(RawData!J59),FALSE)</f>
        <v>Thousand metric tons lithium carbonate equivalent</v>
      </c>
      <c r="I81" s="621" t="str">
        <f ca="1">OFFSET(Sources!F16,0,RawData!$C$37*2)</f>
        <v>The higher, the better</v>
      </c>
      <c r="J81" s="660">
        <f ca="1">VLOOKUP(RawData!$F135,RawData!$A$52:$AC$115,COLUMN(RawData!W59),FALSE)</f>
        <v>812.7628825531915</v>
      </c>
      <c r="K81" s="659">
        <f ca="1">VLOOKUP(RawData!$F135,RawData!$A$52:$AC$115,COLUMN(RawData!X59),FALSE)</f>
        <v>0</v>
      </c>
    </row>
    <row r="82" spans="2:11">
      <c r="B82" s="723"/>
      <c r="C82" s="723" t="s">
        <v>37</v>
      </c>
      <c r="D82" s="595" t="s">
        <v>333</v>
      </c>
      <c r="E82" s="592">
        <f ca="1">VLOOKUP(RawData!$F136,RawData!$A$52:$AC$115,COLUMN(RawData!U60),FALSE)</f>
        <v>7</v>
      </c>
      <c r="F82" s="592">
        <f ca="1">VLOOKUP(RawData!$F136,RawData!$A$52:$AC$115,COLUMN(RawData!V60),FALSE)</f>
        <v>7</v>
      </c>
      <c r="G82" s="620">
        <f ca="1">VLOOKUP(RawData!$F136,RawData!$A$52:$AC$115,COLUMN(RawData!T60),FALSE)</f>
        <v>0</v>
      </c>
      <c r="H82" s="621" t="str">
        <f ca="1">VLOOKUP(RawData!$F136,RawData!$A$52:$AC$115,COLUMN(RawData!J60),FALSE)</f>
        <v>Thousand metric tons</v>
      </c>
      <c r="I82" s="592" t="str">
        <f ca="1">OFFSET(Sources!F17,0,RawData!$C$37*2)</f>
        <v>The higher, the better</v>
      </c>
      <c r="J82" s="622">
        <f ca="1">VLOOKUP(RawData!$F136,RawData!$A$52:$AC$115,COLUMN(RawData!W60),FALSE)</f>
        <v>640000</v>
      </c>
      <c r="K82" s="620">
        <f ca="1">VLOOKUP(RawData!$F136,RawData!$A$52:$AC$115,COLUMN(RawData!X60),FALSE)</f>
        <v>0</v>
      </c>
    </row>
    <row r="83" spans="2:11">
      <c r="B83" s="723"/>
      <c r="C83" s="723"/>
      <c r="D83" s="595" t="s">
        <v>509</v>
      </c>
      <c r="E83" s="592">
        <f ca="1">VLOOKUP(RawData!$F137,RawData!$A$52:$AC$115,COLUMN(RawData!U61),FALSE)</f>
        <v>10</v>
      </c>
      <c r="F83" s="592">
        <f ca="1">VLOOKUP(RawData!$F137,RawData!$A$52:$AC$115,COLUMN(RawData!V61),FALSE)</f>
        <v>10</v>
      </c>
      <c r="G83" s="620">
        <f ca="1">VLOOKUP(RawData!$F137,RawData!$A$52:$AC$115,COLUMN(RawData!T61),FALSE)</f>
        <v>0</v>
      </c>
      <c r="H83" s="621" t="str">
        <f ca="1">VLOOKUP(RawData!$F137,RawData!$A$52:$AC$115,COLUMN(RawData!J61),FALSE)</f>
        <v>Thousand metric tons</v>
      </c>
      <c r="I83" s="592" t="str">
        <f ca="1">OFFSET(Sources!F18,0,RawData!$C$37*2)</f>
        <v>The higher, the better</v>
      </c>
      <c r="J83" s="622">
        <f ca="1">VLOOKUP(RawData!$F137,RawData!$A$52:$AC$115,COLUMN(RawData!W61),FALSE)</f>
        <v>7407.5834000000004</v>
      </c>
      <c r="K83" s="620">
        <f ca="1">VLOOKUP(RawData!$F137,RawData!$A$52:$AC$115,COLUMN(RawData!X61),FALSE)</f>
        <v>0</v>
      </c>
    </row>
    <row r="84" spans="2:11">
      <c r="B84" s="723"/>
      <c r="C84" s="723"/>
      <c r="D84" s="595" t="s">
        <v>510</v>
      </c>
      <c r="E84" s="592">
        <f ca="1">VLOOKUP(RawData!$F138,RawData!$A$52:$AC$115,COLUMN(RawData!U62),FALSE)</f>
        <v>5</v>
      </c>
      <c r="F84" s="592">
        <f ca="1">VLOOKUP(RawData!$F138,RawData!$A$52:$AC$115,COLUMN(RawData!V62),FALSE)</f>
        <v>5</v>
      </c>
      <c r="G84" s="620">
        <f ca="1">VLOOKUP(RawData!$F138,RawData!$A$52:$AC$115,COLUMN(RawData!T62),FALSE)</f>
        <v>0</v>
      </c>
      <c r="H84" s="621" t="str">
        <f ca="1">VLOOKUP(RawData!$F138,RawData!$A$52:$AC$115,COLUMN(RawData!J62),FALSE)</f>
        <v>Thousand metric tons</v>
      </c>
      <c r="I84" s="592" t="str">
        <f ca="1">OFFSET(Sources!F19,0,RawData!$C$37*2)</f>
        <v>The higher, the better</v>
      </c>
      <c r="J84" s="622">
        <f ca="1">VLOOKUP(RawData!$F138,RawData!$A$52:$AC$115,COLUMN(RawData!W62),FALSE)</f>
        <v>84.32</v>
      </c>
      <c r="K84" s="620">
        <f ca="1">VLOOKUP(RawData!$F138,RawData!$A$52:$AC$115,COLUMN(RawData!X62),FALSE)</f>
        <v>0</v>
      </c>
    </row>
    <row r="85" spans="2:11">
      <c r="B85" s="723"/>
      <c r="C85" s="723" t="s">
        <v>35</v>
      </c>
      <c r="D85" s="595" t="s">
        <v>333</v>
      </c>
      <c r="E85" s="592">
        <f ca="1">VLOOKUP(RawData!$F139,RawData!$A$52:$AC$115,COLUMN(RawData!U63),FALSE)</f>
        <v>8</v>
      </c>
      <c r="F85" s="592">
        <f ca="1">VLOOKUP(RawData!$F139,RawData!$A$52:$AC$115,COLUMN(RawData!V63),FALSE)</f>
        <v>8</v>
      </c>
      <c r="G85" s="620">
        <f ca="1">VLOOKUP(RawData!$F139,RawData!$A$52:$AC$115,COLUMN(RawData!T63),FALSE)</f>
        <v>0</v>
      </c>
      <c r="H85" s="621" t="str">
        <f ca="1">VLOOKUP(RawData!$F139,RawData!$A$52:$AC$115,COLUMN(RawData!J63),FALSE)</f>
        <v>Thousand metric tons</v>
      </c>
      <c r="I85" s="592" t="str">
        <f ca="1">OFFSET(Sources!F20,0,RawData!$C$37*2)</f>
        <v>The higher, the better</v>
      </c>
      <c r="J85" s="622">
        <f ca="1">VLOOKUP(RawData!$F139,RawData!$A$52:$AC$115,COLUMN(RawData!W63),FALSE)</f>
        <v>21000</v>
      </c>
      <c r="K85" s="620">
        <f ca="1">VLOOKUP(RawData!$F139,RawData!$A$52:$AC$115,COLUMN(RawData!X63),FALSE)</f>
        <v>0</v>
      </c>
    </row>
    <row r="86" spans="2:11">
      <c r="B86" s="723"/>
      <c r="C86" s="723"/>
      <c r="D86" s="595" t="s">
        <v>509</v>
      </c>
      <c r="E86" s="592">
        <f ca="1">VLOOKUP(RawData!$F140,RawData!$A$52:$AC$115,COLUMN(RawData!U64),FALSE)</f>
        <v>12</v>
      </c>
      <c r="F86" s="592">
        <f ca="1">VLOOKUP(RawData!$F140,RawData!$A$52:$AC$115,COLUMN(RawData!V64),FALSE)</f>
        <v>12</v>
      </c>
      <c r="G86" s="620">
        <f ca="1">VLOOKUP(RawData!$F140,RawData!$A$52:$AC$115,COLUMN(RawData!T64),FALSE)</f>
        <v>0</v>
      </c>
      <c r="H86" s="621" t="str">
        <f ca="1">VLOOKUP(RawData!$F140,RawData!$A$52:$AC$115,COLUMN(RawData!J64),FALSE)</f>
        <v>Thousand metric tons</v>
      </c>
      <c r="I86" s="592" t="str">
        <f ca="1">OFFSET(Sources!F21,0,RawData!$C$37*2)</f>
        <v>The higher, the better</v>
      </c>
      <c r="J86" s="622">
        <f ca="1">VLOOKUP(RawData!$F140,RawData!$A$52:$AC$115,COLUMN(RawData!W64),FALSE)</f>
        <v>165.85918626368999</v>
      </c>
      <c r="K86" s="620">
        <f ca="1">VLOOKUP(RawData!$F140,RawData!$A$52:$AC$115,COLUMN(RawData!X64),FALSE)</f>
        <v>0</v>
      </c>
    </row>
    <row r="87" spans="2:11">
      <c r="B87" s="724"/>
      <c r="C87" s="724"/>
      <c r="D87" s="596" t="s">
        <v>510</v>
      </c>
      <c r="E87" s="593">
        <f ca="1">VLOOKUP(RawData!$F141,RawData!$A$52:$AC$115,COLUMN(RawData!U65),FALSE)</f>
        <v>8</v>
      </c>
      <c r="F87" s="593">
        <f ca="1">VLOOKUP(RawData!$F141,RawData!$A$52:$AC$115,COLUMN(RawData!V65),FALSE)</f>
        <v>8</v>
      </c>
      <c r="G87" s="623">
        <f ca="1">VLOOKUP(RawData!$F141,RawData!$A$52:$AC$115,COLUMN(RawData!T65),FALSE)</f>
        <v>0</v>
      </c>
      <c r="H87" s="624" t="str">
        <f ca="1">VLOOKUP(RawData!$F141,RawData!$A$52:$AC$115,COLUMN(RawData!J65),FALSE)</f>
        <v>Thousand metric tons</v>
      </c>
      <c r="I87" s="593" t="str">
        <f ca="1">OFFSET(Sources!F22,0,RawData!$C$37*2)</f>
        <v>The higher, the better</v>
      </c>
      <c r="J87" s="625">
        <f ca="1">VLOOKUP(RawData!$F141,RawData!$A$52:$AC$115,COLUMN(RawData!W65),FALSE)</f>
        <v>218.02199999999999</v>
      </c>
      <c r="K87" s="623">
        <f ca="1">VLOOKUP(RawData!$F141,RawData!$A$52:$AC$115,COLUMN(RawData!X65),FALSE)</f>
        <v>0</v>
      </c>
    </row>
    <row r="88" spans="2:11">
      <c r="B88" s="722" t="s">
        <v>511</v>
      </c>
      <c r="C88" s="588" t="s">
        <v>357</v>
      </c>
      <c r="D88" s="594" t="s">
        <v>512</v>
      </c>
      <c r="E88" s="591">
        <f ca="1">VLOOKUP(RawData!$F142,RawData!$A$52:$AC$115,COLUMN(RawData!U66),FALSE)</f>
        <v>7</v>
      </c>
      <c r="F88" s="591">
        <f ca="1">VLOOKUP(RawData!$F142,RawData!$A$52:$AC$115,COLUMN(RawData!V66),FALSE)</f>
        <v>7</v>
      </c>
      <c r="G88" s="617">
        <f ca="1">VLOOKUP(RawData!$F142,RawData!$A$52:$AC$115,COLUMN(RawData!T66),FALSE)</f>
        <v>0</v>
      </c>
      <c r="H88" s="618" t="str">
        <f ca="1">VLOOKUP(RawData!$F142,RawData!$A$52:$AC$115,COLUMN(RawData!J66),FALSE)</f>
        <v>Metric tons per year</v>
      </c>
      <c r="I88" s="591" t="str">
        <f ca="1">OFFSET(Sources!F23,0,RawData!$C$37*2)</f>
        <v>The higher, the better</v>
      </c>
      <c r="J88" s="619">
        <f ca="1">VLOOKUP(RawData!$F142,RawData!$A$52:$AC$115,COLUMN(RawData!W66),FALSE)</f>
        <v>862980</v>
      </c>
      <c r="K88" s="617">
        <f ca="1">VLOOKUP(RawData!$F142,RawData!$A$52:$AC$115,COLUMN(RawData!X66),FALSE)</f>
        <v>0</v>
      </c>
    </row>
    <row r="89" spans="2:11">
      <c r="B89" s="723"/>
      <c r="C89" s="589" t="s">
        <v>447</v>
      </c>
      <c r="D89" s="595" t="s">
        <v>513</v>
      </c>
      <c r="E89" s="592">
        <f ca="1">VLOOKUP(RawData!$F143,RawData!$A$52:$AC$115,COLUMN(RawData!U67),FALSE)</f>
        <v>9</v>
      </c>
      <c r="F89" s="592">
        <f ca="1">VLOOKUP(RawData!$F143,RawData!$A$52:$AC$115,COLUMN(RawData!V67),FALSE)</f>
        <v>9</v>
      </c>
      <c r="G89" s="620">
        <f ca="1">VLOOKUP(RawData!$F143,RawData!$A$52:$AC$115,COLUMN(RawData!T67),FALSE)</f>
        <v>0</v>
      </c>
      <c r="H89" s="621" t="str">
        <f ca="1">VLOOKUP(RawData!$F143,RawData!$A$52:$AC$115,COLUMN(RawData!J67),FALSE)</f>
        <v>Metric tons per year</v>
      </c>
      <c r="I89" s="592" t="str">
        <f ca="1">OFFSET(Sources!F24,0,RawData!$C$37*2)</f>
        <v>The higher, the better</v>
      </c>
      <c r="J89" s="622">
        <f ca="1">VLOOKUP(RawData!$F143,RawData!$A$52:$AC$115,COLUMN(RawData!W67),FALSE)</f>
        <v>1195590</v>
      </c>
      <c r="K89" s="620">
        <f ca="1">VLOOKUP(RawData!$F143,RawData!$A$52:$AC$115,COLUMN(RawData!X67),FALSE)</f>
        <v>0</v>
      </c>
    </row>
    <row r="90" spans="2:11">
      <c r="B90" s="723"/>
      <c r="C90" s="589" t="s">
        <v>500</v>
      </c>
      <c r="D90" s="595" t="s">
        <v>64</v>
      </c>
      <c r="E90" s="592">
        <f ca="1">VLOOKUP(RawData!$F144,RawData!$A$52:$AC$115,COLUMN(RawData!U68),FALSE)</f>
        <v>13</v>
      </c>
      <c r="F90" s="592">
        <f ca="1">VLOOKUP(RawData!$F144,RawData!$A$52:$AC$115,COLUMN(RawData!V68),FALSE)</f>
        <v>13</v>
      </c>
      <c r="G90" s="620">
        <f ca="1">VLOOKUP(RawData!$F144,RawData!$A$52:$AC$115,COLUMN(RawData!T68),FALSE)</f>
        <v>0</v>
      </c>
      <c r="H90" s="621" t="str">
        <f ca="1">VLOOKUP(RawData!$F144,RawData!$A$52:$AC$115,COLUMN(RawData!J68),FALSE)</f>
        <v>Gigawatt-hours per year</v>
      </c>
      <c r="I90" s="592" t="str">
        <f ca="1">OFFSET(Sources!F25,0,RawData!$C$37*2)</f>
        <v>The higher, the better</v>
      </c>
      <c r="J90" s="622">
        <f ca="1">VLOOKUP(RawData!$F144,RawData!$A$52:$AC$115,COLUMN(RawData!W68),FALSE)</f>
        <v>861.6</v>
      </c>
      <c r="K90" s="620">
        <f ca="1">VLOOKUP(RawData!$F144,RawData!$A$52:$AC$115,COLUMN(RawData!X68),FALSE)</f>
        <v>0</v>
      </c>
    </row>
    <row r="91" spans="2:11">
      <c r="B91" s="723"/>
      <c r="C91" s="589" t="s">
        <v>360</v>
      </c>
      <c r="D91" s="595" t="s">
        <v>514</v>
      </c>
      <c r="E91" s="592">
        <f ca="1">VLOOKUP(RawData!$F145,RawData!$A$52:$AC$115,COLUMN(RawData!U69),FALSE)</f>
        <v>9</v>
      </c>
      <c r="F91" s="592">
        <f ca="1">VLOOKUP(RawData!$F145,RawData!$A$52:$AC$115,COLUMN(RawData!V69),FALSE)</f>
        <v>9</v>
      </c>
      <c r="G91" s="620">
        <f ca="1">VLOOKUP(RawData!$F145,RawData!$A$52:$AC$115,COLUMN(RawData!T69),FALSE)</f>
        <v>0</v>
      </c>
      <c r="H91" s="621" t="str">
        <f ca="1">VLOOKUP(RawData!$F145,RawData!$A$52:$AC$115,COLUMN(RawData!J69),FALSE)</f>
        <v>Metric tons per year</v>
      </c>
      <c r="I91" s="592" t="str">
        <f ca="1">OFFSET(Sources!F26,0,RawData!$C$37*2)</f>
        <v>The higher, the better</v>
      </c>
      <c r="J91" s="622">
        <f ca="1">VLOOKUP(RawData!$F145,RawData!$A$52:$AC$115,COLUMN(RawData!W69),FALSE)</f>
        <v>487</v>
      </c>
      <c r="K91" s="620">
        <f ca="1">VLOOKUP(RawData!$F145,RawData!$A$52:$AC$115,COLUMN(RawData!X69),FALSE)</f>
        <v>0</v>
      </c>
    </row>
    <row r="92" spans="2:11">
      <c r="B92" s="723"/>
      <c r="C92" s="589" t="s">
        <v>501</v>
      </c>
      <c r="D92" s="595" t="s">
        <v>515</v>
      </c>
      <c r="E92" s="592">
        <f ca="1">VLOOKUP(RawData!$F146,RawData!$A$52:$AC$115,COLUMN(RawData!U70),FALSE)</f>
        <v>7</v>
      </c>
      <c r="F92" s="592">
        <f ca="1">VLOOKUP(RawData!$F146,RawData!$A$52:$AC$115,COLUMN(RawData!V70),FALSE)</f>
        <v>7</v>
      </c>
      <c r="G92" s="620">
        <f ca="1">VLOOKUP(RawData!$F146,RawData!$A$52:$AC$115,COLUMN(RawData!T70),FALSE)</f>
        <v>0</v>
      </c>
      <c r="H92" s="621" t="str">
        <f ca="1">VLOOKUP(RawData!$F146,RawData!$A$52:$AC$115,COLUMN(RawData!J70),FALSE)</f>
        <v>Metric tons per year</v>
      </c>
      <c r="I92" s="592" t="str">
        <f ca="1">OFFSET(Sources!F27,0,RawData!$C$37*2)</f>
        <v>The higher, the better</v>
      </c>
      <c r="J92" s="622">
        <f ca="1">VLOOKUP(RawData!$F146,RawData!$A$52:$AC$115,COLUMN(RawData!W70),FALSE)</f>
        <v>340000</v>
      </c>
      <c r="K92" s="620">
        <f ca="1">VLOOKUP(RawData!$F146,RawData!$A$52:$AC$115,COLUMN(RawData!X70),FALSE)</f>
        <v>0</v>
      </c>
    </row>
    <row r="93" spans="2:11">
      <c r="B93" s="723"/>
      <c r="C93" s="589" t="s">
        <v>448</v>
      </c>
      <c r="D93" s="595" t="s">
        <v>516</v>
      </c>
      <c r="E93" s="592">
        <f ca="1">VLOOKUP(RawData!$F147,RawData!$A$52:$AC$115,COLUMN(RawData!U71),FALSE)</f>
        <v>5</v>
      </c>
      <c r="F93" s="592">
        <f ca="1">VLOOKUP(RawData!$F147,RawData!$A$52:$AC$115,COLUMN(RawData!V71),FALSE)</f>
        <v>5</v>
      </c>
      <c r="G93" s="620">
        <f ca="1">VLOOKUP(RawData!$F147,RawData!$A$52:$AC$115,COLUMN(RawData!T71),FALSE)</f>
        <v>0</v>
      </c>
      <c r="H93" s="621" t="str">
        <f ca="1">VLOOKUP(RawData!$F147,RawData!$A$52:$AC$115,COLUMN(RawData!J71),FALSE)</f>
        <v>Metric tons per year</v>
      </c>
      <c r="I93" s="592" t="str">
        <f ca="1">OFFSET(Sources!F28,0,RawData!$C$37*2)</f>
        <v>The higher, the better</v>
      </c>
      <c r="J93" s="622">
        <f ca="1">VLOOKUP(RawData!$F147,RawData!$A$52:$AC$115,COLUMN(RawData!W71),FALSE)</f>
        <v>100600</v>
      </c>
      <c r="K93" s="620">
        <f ca="1">VLOOKUP(RawData!$F147,RawData!$A$52:$AC$115,COLUMN(RawData!X71),FALSE)</f>
        <v>0</v>
      </c>
    </row>
    <row r="94" spans="2:11" ht="14.1" customHeight="1">
      <c r="B94" s="724"/>
      <c r="C94" s="590" t="s">
        <v>271</v>
      </c>
      <c r="D94" s="596" t="s">
        <v>669</v>
      </c>
      <c r="E94" s="593" t="e">
        <f>VLOOKUP(RawData!$F148,RawData!$A$52:$AC$115,COLUMN(RawData!U72),FALSE)</f>
        <v>#N/A</v>
      </c>
      <c r="F94" s="593" t="e">
        <f>VLOOKUP(RawData!$F148,RawData!$A$52:$AC$115,COLUMN(RawData!V72),FALSE)</f>
        <v>#N/A</v>
      </c>
      <c r="G94" s="623" t="e">
        <f>VLOOKUP(RawData!$F148,RawData!$A$52:$AC$115,COLUMN(RawData!T72),FALSE)</f>
        <v>#N/A</v>
      </c>
      <c r="H94" s="624" t="e">
        <f>VLOOKUP(RawData!$F148,RawData!$A$52:$AC$115,COLUMN(RawData!J72),FALSE)</f>
        <v>#N/A</v>
      </c>
      <c r="I94" s="593" t="str">
        <f ca="1">OFFSET(Sources!F29,0,RawData!$C$37*2)</f>
        <v>The higher, the better</v>
      </c>
      <c r="J94" s="625" t="e">
        <f>VLOOKUP(RawData!$F148,RawData!$A$52:$AC$115,COLUMN(RawData!W72),FALSE)</f>
        <v>#N/A</v>
      </c>
      <c r="K94" s="623" t="e">
        <f>VLOOKUP(RawData!$F148,RawData!$A$52:$AC$115,COLUMN(RawData!X72),FALSE)</f>
        <v>#N/A</v>
      </c>
    </row>
    <row r="95" spans="2:11">
      <c r="B95" s="722" t="s">
        <v>449</v>
      </c>
      <c r="C95" s="722" t="s">
        <v>503</v>
      </c>
      <c r="D95" s="594" t="s">
        <v>518</v>
      </c>
      <c r="E95" s="591">
        <f ca="1">VLOOKUP(RawData!$F149,RawData!$A$52:$AC$115,COLUMN(RawData!U73),FALSE)</f>
        <v>28</v>
      </c>
      <c r="F95" s="591">
        <f ca="1">VLOOKUP(RawData!$F149,RawData!$A$52:$AC$115,COLUMN(RawData!V73),FALSE)</f>
        <v>30</v>
      </c>
      <c r="G95" s="617">
        <f ca="1">VLOOKUP(RawData!$F149,RawData!$A$52:$AC$115,COLUMN(RawData!T73),FALSE)</f>
        <v>1.8313448087944089E-2</v>
      </c>
      <c r="H95" s="618" t="str">
        <f ca="1">VLOOKUP(RawData!$F149,RawData!$A$52:$AC$115,COLUMN(RawData!J73),FALSE)</f>
        <v>Gigawatt-hours</v>
      </c>
      <c r="I95" s="591" t="str">
        <f ca="1">OFFSET(Sources!F30,0,RawData!$C$37*2)</f>
        <v>The higher, the better</v>
      </c>
      <c r="J95" s="619">
        <f ca="1">VLOOKUP(RawData!$F149,RawData!$A$52:$AC$115,COLUMN(RawData!W73),FALSE)</f>
        <v>260.36532002631475</v>
      </c>
      <c r="K95" s="617">
        <f ca="1">VLOOKUP(RawData!$F149,RawData!$A$52:$AC$115,COLUMN(RawData!X73),FALSE)</f>
        <v>0</v>
      </c>
    </row>
    <row r="96" spans="2:11">
      <c r="B96" s="723"/>
      <c r="C96" s="723"/>
      <c r="D96" s="595" t="s">
        <v>400</v>
      </c>
      <c r="E96" s="592">
        <f ca="1">VLOOKUP(RawData!$F150,RawData!$A$52:$AC$115,COLUMN(RawData!U74),FALSE)</f>
        <v>20</v>
      </c>
      <c r="F96" s="592">
        <f ca="1">VLOOKUP(RawData!$F150,RawData!$A$52:$AC$115,COLUMN(RawData!V74),FALSE)</f>
        <v>29</v>
      </c>
      <c r="G96" s="620">
        <f ca="1">VLOOKUP(RawData!$F150,RawData!$A$52:$AC$115,COLUMN(RawData!T74),FALSE)</f>
        <v>3.2689800000000005E-2</v>
      </c>
      <c r="H96" s="621" t="str">
        <f ca="1">VLOOKUP(RawData!$F150,RawData!$A$52:$AC$115,COLUMN(RawData!J74),FALSE)</f>
        <v>Gigawatt-hours</v>
      </c>
      <c r="I96" s="592" t="str">
        <f ca="1">OFFSET(Sources!F31,0,RawData!$C$37*2)</f>
        <v>The higher, the better</v>
      </c>
      <c r="J96" s="622">
        <f ca="1">VLOOKUP(RawData!$F150,RawData!$A$52:$AC$115,COLUMN(RawData!W74),FALSE)</f>
        <v>12.384685745394627</v>
      </c>
      <c r="K96" s="620">
        <f ca="1">VLOOKUP(RawData!$F150,RawData!$A$52:$AC$115,COLUMN(RawData!X74),FALSE)</f>
        <v>0</v>
      </c>
    </row>
    <row r="97" spans="2:11">
      <c r="B97" s="723"/>
      <c r="C97" s="723"/>
      <c r="D97" s="595" t="s">
        <v>401</v>
      </c>
      <c r="E97" s="592">
        <f ca="1">VLOOKUP(RawData!$F151,RawData!$A$52:$AC$115,COLUMN(RawData!U75),FALSE)</f>
        <v>22</v>
      </c>
      <c r="F97" s="592">
        <f ca="1">VLOOKUP(RawData!$F151,RawData!$A$52:$AC$115,COLUMN(RawData!V75),FALSE)</f>
        <v>29</v>
      </c>
      <c r="G97" s="620">
        <f ca="1">VLOOKUP(RawData!$F151,RawData!$A$52:$AC$115,COLUMN(RawData!T75),FALSE)</f>
        <v>5.9199999999999999E-3</v>
      </c>
      <c r="H97" s="621" t="str">
        <f ca="1">VLOOKUP(RawData!$F151,RawData!$A$52:$AC$115,COLUMN(RawData!J75),FALSE)</f>
        <v>Gigawatt-hours</v>
      </c>
      <c r="I97" s="592" t="str">
        <f ca="1">OFFSET(Sources!F32,0,RawData!$C$37*2)</f>
        <v>The higher, the better</v>
      </c>
      <c r="J97" s="622">
        <f ca="1">VLOOKUP(RawData!$F151,RawData!$A$52:$AC$115,COLUMN(RawData!W75),FALSE)</f>
        <v>18.927365501749108</v>
      </c>
      <c r="K97" s="620">
        <f ca="1">VLOOKUP(RawData!$F151,RawData!$A$52:$AC$115,COLUMN(RawData!X75),FALSE)</f>
        <v>0</v>
      </c>
    </row>
    <row r="98" spans="2:11">
      <c r="B98" s="723"/>
      <c r="C98" s="723"/>
      <c r="D98" s="595" t="s">
        <v>519</v>
      </c>
      <c r="E98" s="592">
        <f ca="1">VLOOKUP(RawData!$F152,RawData!$A$52:$AC$115,COLUMN(RawData!U76),FALSE)</f>
        <v>22</v>
      </c>
      <c r="F98" s="592">
        <f ca="1">VLOOKUP(RawData!$F152,RawData!$A$52:$AC$115,COLUMN(RawData!V76),FALSE)</f>
        <v>22</v>
      </c>
      <c r="G98" s="620">
        <f ca="1">VLOOKUP(RawData!$F152,RawData!$A$52:$AC$115,COLUMN(RawData!T76),FALSE)</f>
        <v>0</v>
      </c>
      <c r="H98" s="621" t="str">
        <f ca="1">VLOOKUP(RawData!$F152,RawData!$A$52:$AC$115,COLUMN(RawData!J76),FALSE)</f>
        <v>Gigawatt-hours</v>
      </c>
      <c r="I98" s="592" t="str">
        <f ca="1">OFFSET(Sources!F33,0,RawData!$C$37*2)</f>
        <v>The higher, the better</v>
      </c>
      <c r="J98" s="622">
        <f ca="1">VLOOKUP(RawData!$F152,RawData!$A$52:$AC$115,COLUMN(RawData!W76),FALSE)</f>
        <v>31.014423076947804</v>
      </c>
      <c r="K98" s="620">
        <f ca="1">VLOOKUP(RawData!$F152,RawData!$A$52:$AC$115,COLUMN(RawData!X76),FALSE)</f>
        <v>0</v>
      </c>
    </row>
    <row r="99" spans="2:11">
      <c r="B99" s="723"/>
      <c r="C99" s="723"/>
      <c r="D99" s="595" t="s">
        <v>520</v>
      </c>
      <c r="E99" s="592">
        <f ca="1">VLOOKUP(RawData!$F153,RawData!$A$52:$AC$115,COLUMN(RawData!U77),FALSE)</f>
        <v>24</v>
      </c>
      <c r="F99" s="592">
        <f ca="1">VLOOKUP(RawData!$F153,RawData!$A$52:$AC$115,COLUMN(RawData!V77),FALSE)</f>
        <v>30</v>
      </c>
      <c r="G99" s="620">
        <f ca="1">VLOOKUP(RawData!$F153,RawData!$A$52:$AC$115,COLUMN(RawData!T77),FALSE)</f>
        <v>6.3701439988219305E-3</v>
      </c>
      <c r="H99" s="621" t="str">
        <f ca="1">VLOOKUP(RawData!$F153,RawData!$A$52:$AC$115,COLUMN(RawData!J77),FALSE)</f>
        <v>Gigawatt-hours</v>
      </c>
      <c r="I99" s="592" t="str">
        <f ca="1">OFFSET(Sources!F34,0,RawData!$C$37*2)</f>
        <v>The higher, the better</v>
      </c>
      <c r="J99" s="622">
        <f ca="1">VLOOKUP(RawData!$F153,RawData!$A$52:$AC$115,COLUMN(RawData!W77),FALSE)</f>
        <v>13.478841652229233</v>
      </c>
      <c r="K99" s="620">
        <f ca="1">VLOOKUP(RawData!$F153,RawData!$A$52:$AC$115,COLUMN(RawData!X77),FALSE)</f>
        <v>0</v>
      </c>
    </row>
    <row r="100" spans="2:11">
      <c r="B100" s="724"/>
      <c r="C100" s="590" t="s">
        <v>168</v>
      </c>
      <c r="D100" s="596" t="s">
        <v>168</v>
      </c>
      <c r="E100" s="593">
        <f ca="1">VLOOKUP(RawData!$F154,RawData!$A$52:$AC$115,COLUMN(RawData!U78),FALSE)</f>
        <v>5.0000000000000018</v>
      </c>
      <c r="F100" s="593">
        <f ca="1">VLOOKUP(RawData!$F154,RawData!$A$52:$AC$115,COLUMN(RawData!V78),FALSE)</f>
        <v>6.0000000000000009</v>
      </c>
      <c r="G100" s="623">
        <f ca="1">VLOOKUP(RawData!$F154,RawData!$A$52:$AC$115,COLUMN(RawData!T78),FALSE)</f>
        <v>1.2367777209877688</v>
      </c>
      <c r="H100" s="624" t="str">
        <f ca="1">VLOOKUP(RawData!$F154,RawData!$A$52:$AC$115,COLUMN(RawData!J78),FALSE)</f>
        <v>Gigawatt-hours</v>
      </c>
      <c r="I100" s="593" t="str">
        <f ca="1">OFFSET(Sources!F35,0,RawData!$C$37*2)</f>
        <v>The higher, the better</v>
      </c>
      <c r="J100" s="625">
        <f ca="1">VLOOKUP(RawData!$F154,RawData!$A$52:$AC$115,COLUMN(RawData!W78),FALSE)</f>
        <v>351.84916177531221</v>
      </c>
      <c r="K100" s="623">
        <f ca="1">VLOOKUP(RawData!$F154,RawData!$A$52:$AC$115,COLUMN(RawData!X78),FALSE)</f>
        <v>0.15711286909346431</v>
      </c>
    </row>
    <row r="101" spans="2:11">
      <c r="B101" s="722" t="s">
        <v>406</v>
      </c>
      <c r="C101" s="722" t="s">
        <v>408</v>
      </c>
      <c r="D101" s="594" t="s">
        <v>522</v>
      </c>
      <c r="E101" s="591">
        <f ca="1">VLOOKUP(RawData!$F155,RawData!$A$52:$AC$115,COLUMN(RawData!U79),FALSE)</f>
        <v>17</v>
      </c>
      <c r="F101" s="591">
        <f ca="1">VLOOKUP(RawData!$F155,RawData!$A$52:$AC$115,COLUMN(RawData!V79),FALSE)</f>
        <v>18</v>
      </c>
      <c r="G101" s="617">
        <f ca="1">VLOOKUP(RawData!$F155,RawData!$A$52:$AC$115,COLUMN(RawData!T79),FALSE)</f>
        <v>50</v>
      </c>
      <c r="H101" s="618" t="str">
        <f ca="1">VLOOKUP(RawData!$F155,RawData!$A$52:$AC$115,COLUMN(RawData!J79),FALSE)</f>
        <v>Score</v>
      </c>
      <c r="I101" s="591" t="str">
        <f ca="1">OFFSET(Sources!F36,0,RawData!$C$37*2)</f>
        <v>The higher, the better</v>
      </c>
      <c r="J101" s="619">
        <f ca="1">VLOOKUP(RawData!$F155,RawData!$A$52:$AC$115,COLUMN(RawData!W79),FALSE)</f>
        <v>6867.2999999999993</v>
      </c>
      <c r="K101" s="617">
        <f ca="1">VLOOKUP(RawData!$F155,RawData!$A$52:$AC$115,COLUMN(RawData!X79),FALSE)</f>
        <v>0</v>
      </c>
    </row>
    <row r="102" spans="2:11">
      <c r="B102" s="723"/>
      <c r="C102" s="723"/>
      <c r="D102" s="595" t="s">
        <v>523</v>
      </c>
      <c r="E102" s="592">
        <f ca="1">VLOOKUP(RawData!$F156,RawData!$A$52:$AC$115,COLUMN(RawData!U80),FALSE)</f>
        <v>18</v>
      </c>
      <c r="F102" s="592">
        <f ca="1">VLOOKUP(RawData!$F156,RawData!$A$52:$AC$115,COLUMN(RawData!V80),FALSE)</f>
        <v>30</v>
      </c>
      <c r="G102" s="620">
        <f ca="1">VLOOKUP(RawData!$F156,RawData!$A$52:$AC$115,COLUMN(RawData!T80),FALSE)</f>
        <v>15.61</v>
      </c>
      <c r="H102" s="621" t="str">
        <f ca="1">VLOOKUP(RawData!$F156,RawData!$A$52:$AC$115,COLUMN(RawData!J80),FALSE)</f>
        <v>Score</v>
      </c>
      <c r="I102" s="592" t="str">
        <f ca="1">OFFSET(Sources!F37,0,RawData!$C$37*2)</f>
        <v>The lower, the better</v>
      </c>
      <c r="J102" s="622">
        <f ca="1">VLOOKUP(RawData!$F156,RawData!$A$52:$AC$115,COLUMN(RawData!W80),FALSE)</f>
        <v>46.82</v>
      </c>
      <c r="K102" s="620">
        <f ca="1">VLOOKUP(RawData!$F156,RawData!$A$52:$AC$115,COLUMN(RawData!X80),FALSE)</f>
        <v>0.97</v>
      </c>
    </row>
    <row r="103" spans="2:11" ht="25.5">
      <c r="B103" s="723"/>
      <c r="C103" s="723"/>
      <c r="D103" s="595" t="s">
        <v>524</v>
      </c>
      <c r="E103" s="592">
        <f ca="1">VLOOKUP(RawData!$F157,RawData!$A$52:$AC$115,COLUMN(RawData!U81),FALSE)</f>
        <v>12</v>
      </c>
      <c r="F103" s="592">
        <f ca="1">VLOOKUP(RawData!$F157,RawData!$A$52:$AC$115,COLUMN(RawData!V81),FALSE)</f>
        <v>30</v>
      </c>
      <c r="G103" s="620">
        <f ca="1">VLOOKUP(RawData!$F157,RawData!$A$52:$AC$115,COLUMN(RawData!T81),FALSE)</f>
        <v>458.72530076301427</v>
      </c>
      <c r="H103" s="621" t="str">
        <f ca="1">VLOOKUP(RawData!$F157,RawData!$A$52:$AC$115,COLUMN(RawData!J81),FALSE)</f>
        <v>Grams of CO2 equivalent per kilowatt-hour</v>
      </c>
      <c r="I103" s="592" t="str">
        <f ca="1">OFFSET(Sources!F38,0,RawData!$C$37*2)</f>
        <v>The lower, the better</v>
      </c>
      <c r="J103" s="622">
        <f ca="1">VLOOKUP(RawData!$F157,RawData!$A$52:$AC$115,COLUMN(RawData!W81),FALSE)</f>
        <v>1321.6469172764027</v>
      </c>
      <c r="K103" s="620">
        <f ca="1">VLOOKUP(RawData!$F157,RawData!$A$52:$AC$115,COLUMN(RawData!X81),FALSE)</f>
        <v>1.8539117538005192</v>
      </c>
    </row>
    <row r="104" spans="2:11">
      <c r="B104" s="723"/>
      <c r="C104" s="723"/>
      <c r="D104" s="595" t="s">
        <v>525</v>
      </c>
      <c r="E104" s="592">
        <f ca="1">VLOOKUP(RawData!$F158,RawData!$A$52:$AC$115,COLUMN(RawData!U82),FALSE)</f>
        <v>22</v>
      </c>
      <c r="F104" s="592">
        <f ca="1">VLOOKUP(RawData!$F158,RawData!$A$52:$AC$115,COLUMN(RawData!V82),FALSE)</f>
        <v>30</v>
      </c>
      <c r="G104" s="620">
        <f ca="1">VLOOKUP(RawData!$F158,RawData!$A$52:$AC$115,COLUMN(RawData!T82),FALSE)</f>
        <v>38.9</v>
      </c>
      <c r="H104" s="621" t="str">
        <f ca="1">VLOOKUP(RawData!$F158,RawData!$A$52:$AC$115,COLUMN(RawData!J82),FALSE)</f>
        <v>Score</v>
      </c>
      <c r="I104" s="592" t="str">
        <f ca="1">OFFSET(Sources!F39,0,RawData!$C$37*2)</f>
        <v>The higher, the better</v>
      </c>
      <c r="J104" s="622">
        <f ca="1">VLOOKUP(RawData!$F158,RawData!$A$52:$AC$115,COLUMN(RawData!W82),FALSE)</f>
        <v>66.8</v>
      </c>
      <c r="K104" s="620">
        <f ca="1">VLOOKUP(RawData!$F158,RawData!$A$52:$AC$115,COLUMN(RawData!X82),FALSE)</f>
        <v>19.3</v>
      </c>
    </row>
    <row r="105" spans="2:11">
      <c r="B105" s="723"/>
      <c r="C105" s="723"/>
      <c r="D105" s="595" t="s">
        <v>267</v>
      </c>
      <c r="E105" s="592">
        <f ca="1">VLOOKUP(RawData!$F159,RawData!$A$52:$AC$115,COLUMN(RawData!U83),FALSE)</f>
        <v>15</v>
      </c>
      <c r="F105" s="592">
        <f ca="1">VLOOKUP(RawData!$F159,RawData!$A$52:$AC$115,COLUMN(RawData!V83),FALSE)</f>
        <v>30</v>
      </c>
      <c r="G105" s="620">
        <f ca="1">VLOOKUP(RawData!$F159,RawData!$A$52:$AC$115,COLUMN(RawData!T83),FALSE)</f>
        <v>56.3</v>
      </c>
      <c r="H105" s="621" t="str">
        <f ca="1">VLOOKUP(RawData!$F159,RawData!$A$52:$AC$115,COLUMN(RawData!J83),FALSE)</f>
        <v>Score</v>
      </c>
      <c r="I105" s="592" t="str">
        <f ca="1">OFFSET(Sources!F40,0,RawData!$C$37*2)</f>
        <v>The higher, the better</v>
      </c>
      <c r="J105" s="622">
        <f ca="1">VLOOKUP(RawData!$F159,RawData!$A$52:$AC$115,COLUMN(RawData!W83),FALSE)</f>
        <v>93.4</v>
      </c>
      <c r="K105" s="620">
        <f ca="1">VLOOKUP(RawData!$F159,RawData!$A$52:$AC$115,COLUMN(RawData!X83),FALSE)</f>
        <v>12.5</v>
      </c>
    </row>
    <row r="106" spans="2:11">
      <c r="B106" s="723"/>
      <c r="C106" s="723"/>
      <c r="D106" s="595" t="s">
        <v>526</v>
      </c>
      <c r="E106" s="592">
        <f ca="1">VLOOKUP(RawData!$F160,RawData!$A$52:$AC$115,COLUMN(RawData!U84),FALSE)</f>
        <v>7</v>
      </c>
      <c r="F106" s="592">
        <f ca="1">VLOOKUP(RawData!$F160,RawData!$A$52:$AC$115,COLUMN(RawData!V84),FALSE)</f>
        <v>30</v>
      </c>
      <c r="G106" s="620">
        <f ca="1">VLOOKUP(RawData!$F160,RawData!$A$52:$AC$115,COLUMN(RawData!T84),FALSE)</f>
        <v>102.63</v>
      </c>
      <c r="H106" s="621" t="str">
        <f ca="1">VLOOKUP(RawData!$F160,RawData!$A$52:$AC$115,COLUMN(RawData!J84),FALSE)</f>
        <v>Score</v>
      </c>
      <c r="I106" s="592" t="str">
        <f ca="1">OFFSET(Sources!F41,0,RawData!$C$37*2)</f>
        <v>The higher, the better</v>
      </c>
      <c r="J106" s="622">
        <f ca="1">VLOOKUP(RawData!$F160,RawData!$A$52:$AC$115,COLUMN(RawData!W84),FALSE)</f>
        <v>117.07</v>
      </c>
      <c r="K106" s="620">
        <f ca="1">VLOOKUP(RawData!$F160,RawData!$A$52:$AC$115,COLUMN(RawData!X84),FALSE)</f>
        <v>12.59</v>
      </c>
    </row>
    <row r="107" spans="2:11">
      <c r="B107" s="723"/>
      <c r="C107" s="723" t="s">
        <v>409</v>
      </c>
      <c r="D107" s="595" t="s">
        <v>527</v>
      </c>
      <c r="E107" s="592">
        <f ca="1">VLOOKUP(RawData!$F161,RawData!$A$52:$AC$115,COLUMN(RawData!U85),FALSE)</f>
        <v>16</v>
      </c>
      <c r="F107" s="592">
        <f ca="1">VLOOKUP(RawData!$F161,RawData!$A$52:$AC$115,COLUMN(RawData!V85),FALSE)</f>
        <v>30</v>
      </c>
      <c r="G107" s="620">
        <f ca="1">VLOOKUP(RawData!$F161,RawData!$A$52:$AC$115,COLUMN(RawData!T85),FALSE)</f>
        <v>0.65</v>
      </c>
      <c r="H107" s="621" t="str">
        <f ca="1">VLOOKUP(RawData!$F161,RawData!$A$52:$AC$115,COLUMN(RawData!J85),FALSE)</f>
        <v>Score</v>
      </c>
      <c r="I107" s="592" t="str">
        <f ca="1">OFFSET(Sources!F42,0,RawData!$C$37*2)</f>
        <v>The higher, the better</v>
      </c>
      <c r="J107" s="622">
        <f ca="1">VLOOKUP(RawData!$F161,RawData!$A$52:$AC$115,COLUMN(RawData!W85),FALSE)</f>
        <v>0.88</v>
      </c>
      <c r="K107" s="620">
        <f ca="1">VLOOKUP(RawData!$F161,RawData!$A$52:$AC$115,COLUMN(RawData!X85),FALSE)</f>
        <v>0.31</v>
      </c>
    </row>
    <row r="108" spans="2:11">
      <c r="B108" s="723"/>
      <c r="C108" s="723"/>
      <c r="D108" s="595" t="s">
        <v>596</v>
      </c>
      <c r="E108" s="592">
        <f ca="1">VLOOKUP(RawData!$F162,RawData!$A$52:$AC$115,COLUMN(RawData!U86),FALSE)</f>
        <v>19</v>
      </c>
      <c r="F108" s="592">
        <f ca="1">VLOOKUP(RawData!$F162,RawData!$A$52:$AC$115,COLUMN(RawData!V86),FALSE)</f>
        <v>30</v>
      </c>
      <c r="G108" s="620">
        <f ca="1">VLOOKUP(RawData!$F162,RawData!$A$52:$AC$115,COLUMN(RawData!T86),FALSE)</f>
        <v>0.28699999999999998</v>
      </c>
      <c r="H108" s="621" t="str">
        <f ca="1">VLOOKUP(RawData!$F162,RawData!$A$52:$AC$115,COLUMN(RawData!J86),FALSE)</f>
        <v>Score</v>
      </c>
      <c r="I108" s="592" t="str">
        <f ca="1">OFFSET(Sources!F43,0,RawData!$C$37*2)</f>
        <v>The lower, the better</v>
      </c>
      <c r="J108" s="622">
        <f ca="1">VLOOKUP(RawData!$F162,RawData!$A$52:$AC$115,COLUMN(RawData!W86),FALSE)</f>
        <v>0.56399999999999995</v>
      </c>
      <c r="K108" s="620">
        <f ca="1">VLOOKUP(RawData!$F162,RawData!$A$52:$AC$115,COLUMN(RawData!X86),FALSE)</f>
        <v>1.6E-2</v>
      </c>
    </row>
    <row r="109" spans="2:11">
      <c r="B109" s="723"/>
      <c r="C109" s="723" t="s">
        <v>410</v>
      </c>
      <c r="D109" s="595" t="s">
        <v>529</v>
      </c>
      <c r="E109" s="592">
        <f ca="1">VLOOKUP(RawData!$F163,RawData!$A$52:$AC$115,COLUMN(RawData!U87),FALSE)</f>
        <v>22</v>
      </c>
      <c r="F109" s="592">
        <f ca="1">VLOOKUP(RawData!$F163,RawData!$A$52:$AC$115,COLUMN(RawData!V87),FALSE)</f>
        <v>30</v>
      </c>
      <c r="G109" s="620">
        <f ca="1">VLOOKUP(RawData!$F163,RawData!$A$52:$AC$115,COLUMN(RawData!T87),FALSE)</f>
        <v>-0.4</v>
      </c>
      <c r="H109" s="621" t="str">
        <f ca="1">VLOOKUP(RawData!$F163,RawData!$A$52:$AC$115,COLUMN(RawData!J87),FALSE)</f>
        <v>Score</v>
      </c>
      <c r="I109" s="592" t="str">
        <f ca="1">OFFSET(Sources!F44,0,RawData!$C$37*2)</f>
        <v>The higher, the better</v>
      </c>
      <c r="J109" s="622">
        <f ca="1">VLOOKUP(RawData!$F163,RawData!$A$52:$AC$115,COLUMN(RawData!W87),FALSE)</f>
        <v>2.27</v>
      </c>
      <c r="K109" s="620">
        <f ca="1">VLOOKUP(RawData!$F163,RawData!$A$52:$AC$115,COLUMN(RawData!X87),FALSE)</f>
        <v>-1.55</v>
      </c>
    </row>
    <row r="110" spans="2:11">
      <c r="B110" s="724"/>
      <c r="C110" s="724"/>
      <c r="D110" s="596" t="s">
        <v>530</v>
      </c>
      <c r="E110" s="593">
        <f ca="1">VLOOKUP(RawData!$F164,RawData!$A$52:$AC$115,COLUMN(RawData!U88),FALSE)</f>
        <v>27</v>
      </c>
      <c r="F110" s="593">
        <f ca="1">VLOOKUP(RawData!$F164,RawData!$A$52:$AC$115,COLUMN(RawData!V88),FALSE)</f>
        <v>30</v>
      </c>
      <c r="G110" s="623">
        <f ca="1">VLOOKUP(RawData!$F164,RawData!$A$52:$AC$115,COLUMN(RawData!T88),FALSE)</f>
        <v>-0.36</v>
      </c>
      <c r="H110" s="624" t="str">
        <f ca="1">VLOOKUP(RawData!$F164,RawData!$A$52:$AC$115,COLUMN(RawData!J88),FALSE)</f>
        <v>Score</v>
      </c>
      <c r="I110" s="593" t="str">
        <f ca="1">OFFSET(Sources!F45,0,RawData!$C$37*2)</f>
        <v>The higher, the better</v>
      </c>
      <c r="J110" s="625">
        <f ca="1">VLOOKUP(RawData!$F164,RawData!$A$52:$AC$115,COLUMN(RawData!W88),FALSE)</f>
        <v>1.96</v>
      </c>
      <c r="K110" s="623">
        <f ca="1">VLOOKUP(RawData!$F164,RawData!$A$52:$AC$115,COLUMN(RawData!X88),FALSE)</f>
        <v>-1.72</v>
      </c>
    </row>
    <row r="111" spans="2:11">
      <c r="B111" s="722" t="s">
        <v>325</v>
      </c>
      <c r="C111" s="722" t="s">
        <v>424</v>
      </c>
      <c r="D111" s="594" t="s">
        <v>531</v>
      </c>
      <c r="E111" s="591">
        <f ca="1">VLOOKUP(RawData!$F165,RawData!$A$52:$AC$115,COLUMN(RawData!U89),FALSE)</f>
        <v>11</v>
      </c>
      <c r="F111" s="591">
        <f ca="1">VLOOKUP(RawData!$F165,RawData!$A$52:$AC$115,COLUMN(RawData!V89),FALSE)</f>
        <v>20</v>
      </c>
      <c r="G111" s="617">
        <f ca="1">VLOOKUP(RawData!$F165,RawData!$A$52:$AC$115,COLUMN(RawData!T89),FALSE)</f>
        <v>57.56</v>
      </c>
      <c r="H111" s="618" t="str">
        <f ca="1">VLOOKUP(RawData!$F165,RawData!$A$52:$AC$115,COLUMN(RawData!J89),FALSE)</f>
        <v>Score</v>
      </c>
      <c r="I111" s="591" t="str">
        <f ca="1">OFFSET(Sources!F46,0,RawData!$C$37*2)</f>
        <v>The higher, the better</v>
      </c>
      <c r="J111" s="619">
        <f ca="1">VLOOKUP(RawData!$F165,RawData!$A$52:$AC$115,COLUMN(RawData!W89),FALSE)</f>
        <v>82.56</v>
      </c>
      <c r="K111" s="617">
        <f ca="1">VLOOKUP(RawData!$F165,RawData!$A$52:$AC$115,COLUMN(RawData!X89),FALSE)</f>
        <v>0</v>
      </c>
    </row>
    <row r="112" spans="2:11">
      <c r="B112" s="723"/>
      <c r="C112" s="723"/>
      <c r="D112" s="595" t="s">
        <v>484</v>
      </c>
      <c r="E112" s="592">
        <f ca="1">VLOOKUP(RawData!$F166,RawData!$A$52:$AC$115,COLUMN(RawData!U90),FALSE)</f>
        <v>29</v>
      </c>
      <c r="F112" s="592">
        <f ca="1">VLOOKUP(RawData!$F166,RawData!$A$52:$AC$115,COLUMN(RawData!V90),FALSE)</f>
        <v>30</v>
      </c>
      <c r="G112" s="620">
        <f ca="1">VLOOKUP(RawData!$F166,RawData!$A$52:$AC$115,COLUMN(RawData!T90),FALSE)</f>
        <v>60.6</v>
      </c>
      <c r="H112" s="621" t="str">
        <f ca="1">VLOOKUP(RawData!$F166,RawData!$A$52:$AC$115,COLUMN(RawData!J90),FALSE)</f>
        <v>Score</v>
      </c>
      <c r="I112" s="592" t="str">
        <f ca="1">OFFSET(Sources!F47,0,RawData!$C$37*2)</f>
        <v>The higher, the better</v>
      </c>
      <c r="J112" s="622">
        <f ca="1">VLOOKUP(RawData!$F166,RawData!$A$52:$AC$115,COLUMN(RawData!W90),FALSE)</f>
        <v>90</v>
      </c>
      <c r="K112" s="620">
        <f ca="1">VLOOKUP(RawData!$F166,RawData!$A$52:$AC$115,COLUMN(RawData!X90),FALSE)</f>
        <v>60</v>
      </c>
    </row>
    <row r="113" spans="2:11">
      <c r="B113" s="723"/>
      <c r="C113" s="723"/>
      <c r="D113" s="595" t="s">
        <v>485</v>
      </c>
      <c r="E113" s="592">
        <f ca="1">VLOOKUP(RawData!$F167,RawData!$A$52:$AC$115,COLUMN(RawData!U91),FALSE)</f>
        <v>20</v>
      </c>
      <c r="F113" s="592">
        <f ca="1">VLOOKUP(RawData!$F167,RawData!$A$52:$AC$115,COLUMN(RawData!V91),FALSE)</f>
        <v>30</v>
      </c>
      <c r="G113" s="620">
        <f ca="1">VLOOKUP(RawData!$F167,RawData!$A$52:$AC$115,COLUMN(RawData!T91),FALSE)</f>
        <v>0.13100000000000001</v>
      </c>
      <c r="H113" s="621" t="str">
        <f ca="1">VLOOKUP(RawData!$F167,RawData!$A$52:$AC$115,COLUMN(RawData!J91),FALSE)</f>
        <v>Score</v>
      </c>
      <c r="I113" s="592" t="str">
        <f ca="1">OFFSET(Sources!F48,0,RawData!$C$37*2)</f>
        <v>The lower, the better</v>
      </c>
      <c r="J113" s="622">
        <f ca="1">VLOOKUP(RawData!$F167,RawData!$A$52:$AC$115,COLUMN(RawData!W91),FALSE)</f>
        <v>0.374</v>
      </c>
      <c r="K113" s="620">
        <f ca="1">VLOOKUP(RawData!$F167,RawData!$A$52:$AC$115,COLUMN(RawData!X91),FALSE)</f>
        <v>0.01</v>
      </c>
    </row>
    <row r="114" spans="2:11">
      <c r="B114" s="723"/>
      <c r="C114" s="723"/>
      <c r="D114" s="595" t="s">
        <v>532</v>
      </c>
      <c r="E114" s="592">
        <f ca="1">VLOOKUP(RawData!$F168,RawData!$A$52:$AC$115,COLUMN(RawData!U92),FALSE)</f>
        <v>0</v>
      </c>
      <c r="F114" s="592">
        <f ca="1">VLOOKUP(RawData!$F168,RawData!$A$52:$AC$115,COLUMN(RawData!V92),FALSE)</f>
        <v>0</v>
      </c>
      <c r="G114" s="620">
        <f ca="1">VLOOKUP(RawData!$F168,RawData!$A$52:$AC$115,COLUMN(RawData!T92),FALSE)</f>
        <v>0</v>
      </c>
      <c r="H114" s="621" t="str">
        <f ca="1">VLOOKUP(RawData!$F168,RawData!$A$52:$AC$115,COLUMN(RawData!J92),FALSE)</f>
        <v>Score</v>
      </c>
      <c r="I114" s="592" t="str">
        <f ca="1">OFFSET(Sources!F49,0,RawData!$C$37*2)</f>
        <v>N/A</v>
      </c>
      <c r="J114" s="622">
        <f ca="1">VLOOKUP(RawData!$F168,RawData!$A$52:$AC$115,COLUMN(RawData!W92),FALSE)</f>
        <v>0</v>
      </c>
      <c r="K114" s="620">
        <f ca="1">VLOOKUP(RawData!$F168,RawData!$A$52:$AC$115,COLUMN(RawData!X92),FALSE)</f>
        <v>0</v>
      </c>
    </row>
    <row r="115" spans="2:11">
      <c r="B115" s="723"/>
      <c r="C115" s="723" t="s">
        <v>121</v>
      </c>
      <c r="D115" s="595" t="s">
        <v>533</v>
      </c>
      <c r="E115" s="592">
        <f ca="1">VLOOKUP(RawData!$F169,RawData!$A$52:$AC$115,COLUMN(RawData!U93),FALSE)</f>
        <v>2</v>
      </c>
      <c r="F115" s="592">
        <f ca="1">VLOOKUP(RawData!$F169,RawData!$A$52:$AC$115,COLUMN(RawData!V93),FALSE)</f>
        <v>30</v>
      </c>
      <c r="G115" s="620">
        <f ca="1">VLOOKUP(RawData!$F169,RawData!$A$52:$AC$115,COLUMN(RawData!T93),FALSE)</f>
        <v>69.13</v>
      </c>
      <c r="H115" s="621" t="str">
        <f ca="1">VLOOKUP(RawData!$F169,RawData!$A$52:$AC$115,COLUMN(RawData!J93),FALSE)</f>
        <v>$ per megawatt-hour</v>
      </c>
      <c r="I115" s="592" t="str">
        <f ca="1">OFFSET(Sources!F50,0,RawData!$C$37*2)</f>
        <v>The lower, the better</v>
      </c>
      <c r="J115" s="622">
        <f ca="1">VLOOKUP(RawData!$F169,RawData!$A$52:$AC$115,COLUMN(RawData!W93),FALSE)</f>
        <v>272.70999999999998</v>
      </c>
      <c r="K115" s="620">
        <f ca="1">VLOOKUP(RawData!$F169,RawData!$A$52:$AC$115,COLUMN(RawData!X93),FALSE)</f>
        <v>65.09</v>
      </c>
    </row>
    <row r="116" spans="2:11">
      <c r="B116" s="723"/>
      <c r="C116" s="723"/>
      <c r="D116" s="595" t="s">
        <v>121</v>
      </c>
      <c r="E116" s="592">
        <f ca="1">VLOOKUP(RawData!$F170,RawData!$A$52:$AC$115,COLUMN(RawData!U94),FALSE)</f>
        <v>25</v>
      </c>
      <c r="F116" s="592">
        <f ca="1">VLOOKUP(RawData!$F170,RawData!$A$52:$AC$115,COLUMN(RawData!V94),FALSE)</f>
        <v>30</v>
      </c>
      <c r="G116" s="620">
        <f ca="1">VLOOKUP(RawData!$F170,RawData!$A$52:$AC$115,COLUMN(RawData!T94),FALSE)</f>
        <v>26</v>
      </c>
      <c r="H116" s="621" t="str">
        <f ca="1">VLOOKUP(RawData!$F170,RawData!$A$52:$AC$115,COLUMN(RawData!J94),FALSE)</f>
        <v>Score</v>
      </c>
      <c r="I116" s="592" t="str">
        <f ca="1">OFFSET(Sources!F51,0,RawData!$C$37*2)</f>
        <v>The higher, the better</v>
      </c>
      <c r="J116" s="622">
        <f ca="1">VLOOKUP(RawData!$F170,RawData!$A$52:$AC$115,COLUMN(RawData!W94),FALSE)</f>
        <v>72.5</v>
      </c>
      <c r="K116" s="620">
        <f ca="1">VLOOKUP(RawData!$F170,RawData!$A$52:$AC$115,COLUMN(RawData!X94),FALSE)</f>
        <v>20.3</v>
      </c>
    </row>
    <row r="117" spans="2:11" ht="25.5">
      <c r="B117" s="723"/>
      <c r="C117" s="723" t="s">
        <v>117</v>
      </c>
      <c r="D117" s="595" t="s">
        <v>534</v>
      </c>
      <c r="E117" s="592">
        <f ca="1">VLOOKUP(RawData!$F171,RawData!$A$52:$AC$115,COLUMN(RawData!U95),FALSE)</f>
        <v>22</v>
      </c>
      <c r="F117" s="592">
        <f ca="1">VLOOKUP(RawData!$F171,RawData!$A$52:$AC$115,COLUMN(RawData!V95),FALSE)</f>
        <v>29</v>
      </c>
      <c r="G117" s="620">
        <f ca="1">VLOOKUP(RawData!$F171,RawData!$A$52:$AC$115,COLUMN(RawData!T95),FALSE)</f>
        <v>0.5</v>
      </c>
      <c r="H117" s="621" t="str">
        <f ca="1">VLOOKUP(RawData!$F171,RawData!$A$52:$AC$115,COLUMN(RawData!J95),FALSE)</f>
        <v>Percentage of gross domestic product</v>
      </c>
      <c r="I117" s="592" t="str">
        <f ca="1">OFFSET(Sources!F52,0,RawData!$C$37*2)</f>
        <v>The higher, the better</v>
      </c>
      <c r="J117" s="622">
        <f ca="1">VLOOKUP(RawData!$F171,RawData!$A$52:$AC$115,COLUMN(RawData!W95),FALSE)</f>
        <v>4.8</v>
      </c>
      <c r="K117" s="620">
        <f ca="1">VLOOKUP(RawData!$F171,RawData!$A$52:$AC$115,COLUMN(RawData!X95),FALSE)</f>
        <v>0.05</v>
      </c>
    </row>
    <row r="118" spans="2:11">
      <c r="B118" s="723"/>
      <c r="C118" s="723"/>
      <c r="D118" s="595" t="s">
        <v>535</v>
      </c>
      <c r="E118" s="592">
        <f ca="1">VLOOKUP(RawData!$F172,RawData!$A$52:$AC$115,COLUMN(RawData!U96),FALSE)</f>
        <v>23</v>
      </c>
      <c r="F118" s="592">
        <f ca="1">VLOOKUP(RawData!$F172,RawData!$A$52:$AC$115,COLUMN(RawData!V96),FALSE)</f>
        <v>30</v>
      </c>
      <c r="G118" s="620">
        <f ca="1">VLOOKUP(RawData!$F172,RawData!$A$52:$AC$115,COLUMN(RawData!T96),FALSE)</f>
        <v>13.6</v>
      </c>
      <c r="H118" s="621" t="str">
        <f ca="1">VLOOKUP(RawData!$F172,RawData!$A$52:$AC$115,COLUMN(RawData!J96),FALSE)</f>
        <v>Score</v>
      </c>
      <c r="I118" s="592" t="str">
        <f ca="1">OFFSET(Sources!F53,0,RawData!$C$37*2)</f>
        <v>The higher, the better</v>
      </c>
      <c r="J118" s="622">
        <f ca="1">VLOOKUP(RawData!$F172,RawData!$A$52:$AC$115,COLUMN(RawData!W96),FALSE)</f>
        <v>81.599999999999994</v>
      </c>
      <c r="K118" s="620">
        <f ca="1">VLOOKUP(RawData!$F172,RawData!$A$52:$AC$115,COLUMN(RawData!X96),FALSE)</f>
        <v>1.85</v>
      </c>
    </row>
    <row r="119" spans="2:11">
      <c r="B119" s="724"/>
      <c r="C119" s="724"/>
      <c r="D119" s="596" t="s">
        <v>536</v>
      </c>
      <c r="E119" s="593">
        <f ca="1">VLOOKUP(RawData!$F173,RawData!$A$52:$AC$115,COLUMN(RawData!U97),FALSE)</f>
        <v>28</v>
      </c>
      <c r="F119" s="593">
        <f ca="1">VLOOKUP(RawData!$F173,RawData!$A$52:$AC$115,COLUMN(RawData!V97),FALSE)</f>
        <v>30</v>
      </c>
      <c r="G119" s="623">
        <f ca="1">VLOOKUP(RawData!$F173,RawData!$A$52:$AC$115,COLUMN(RawData!T97),FALSE)</f>
        <v>15.4</v>
      </c>
      <c r="H119" s="624" t="str">
        <f ca="1">VLOOKUP(RawData!$F173,RawData!$A$52:$AC$115,COLUMN(RawData!J97),FALSE)</f>
        <v>Percentage</v>
      </c>
      <c r="I119" s="593" t="str">
        <f ca="1">OFFSET(Sources!F54,0,RawData!$C$37*2)</f>
        <v>The higher, the better</v>
      </c>
      <c r="J119" s="625">
        <f ca="1">VLOOKUP(RawData!$F173,RawData!$A$52:$AC$115,COLUMN(RawData!W97),FALSE)</f>
        <v>35.799999999999997</v>
      </c>
      <c r="K119" s="623">
        <f ca="1">VLOOKUP(RawData!$F173,RawData!$A$52:$AC$115,COLUMN(RawData!X97),FALSE)</f>
        <v>9.8000000000000007</v>
      </c>
    </row>
    <row r="120" spans="2:11">
      <c r="B120" s="650" t="s">
        <v>651</v>
      </c>
      <c r="C120" s="650"/>
      <c r="D120" s="650"/>
      <c r="E120" s="650"/>
      <c r="F120" s="650"/>
      <c r="G120" s="650"/>
      <c r="H120" s="650"/>
      <c r="I120" s="650"/>
      <c r="J120" s="650"/>
      <c r="K120" s="650"/>
    </row>
    <row r="122" spans="2:11">
      <c r="B122" s="553" t="str">
        <f>D6</f>
        <v>Argentina</v>
      </c>
    </row>
    <row r="123" spans="2:11">
      <c r="B123" s="581">
        <f>D7</f>
        <v>2023</v>
      </c>
    </row>
    <row r="124" spans="2:11">
      <c r="B124" s="613" t="s">
        <v>119</v>
      </c>
      <c r="C124" s="613" t="s">
        <v>496</v>
      </c>
      <c r="D124" s="613" t="s">
        <v>507</v>
      </c>
      <c r="E124" s="578" t="s">
        <v>644</v>
      </c>
      <c r="F124" s="578" t="s">
        <v>645</v>
      </c>
      <c r="G124" s="578" t="s">
        <v>192</v>
      </c>
      <c r="H124" s="578" t="s">
        <v>3</v>
      </c>
      <c r="I124" s="578" t="s">
        <v>646</v>
      </c>
      <c r="J124" s="578" t="s">
        <v>647</v>
      </c>
      <c r="K124" s="578" t="s">
        <v>648</v>
      </c>
    </row>
    <row r="125" spans="2:11">
      <c r="B125" s="722" t="s">
        <v>79</v>
      </c>
      <c r="C125" s="722" t="s">
        <v>34</v>
      </c>
      <c r="D125" s="594" t="s">
        <v>333</v>
      </c>
      <c r="E125" s="591">
        <f ca="1">VLOOKUP(RawData!$F127,RawData!$A$52:$AC$115,COLUMN(RawData!U103)+5,FALSE)</f>
        <v>15</v>
      </c>
      <c r="F125" s="591">
        <f ca="1">VLOOKUP(RawData!$F127,RawData!$A$52:$AC$115,COLUMN(RawData!V103)+5,FALSE)</f>
        <v>15</v>
      </c>
      <c r="G125" s="617">
        <f ca="1">VLOOKUP(RawData!$F127,RawData!$A$52:$AC$115,COLUMN(RawData!T103)+5,FALSE)</f>
        <v>0</v>
      </c>
      <c r="H125" s="618" t="str">
        <f ca="1">VLOOKUP(RawData!$F127,RawData!$A$52:$AC$115,COLUMN(RawData!J103),FALSE)</f>
        <v>Thousand metric tons</v>
      </c>
      <c r="I125" s="591" t="str">
        <f ca="1">OFFSET(Sources!F8,0,RawData!$C$39*2)</f>
        <v>The higher, the better</v>
      </c>
      <c r="J125" s="619">
        <f ca="1">VLOOKUP(RawData!$F127,RawData!$A$52:$AC$115,COLUMN(RawData!W103)+5,FALSE)</f>
        <v>4000</v>
      </c>
      <c r="K125" s="617">
        <f ca="1">VLOOKUP(RawData!$F127,RawData!$A$52:$AC$115,COLUMN(RawData!X103)+5,FALSE)</f>
        <v>0</v>
      </c>
    </row>
    <row r="126" spans="2:11">
      <c r="B126" s="723"/>
      <c r="C126" s="723"/>
      <c r="D126" s="595" t="s">
        <v>509</v>
      </c>
      <c r="E126" s="592">
        <f ca="1">VLOOKUP(RawData!$F128,RawData!$A$52:$AC$115,COLUMN(RawData!U104)+5,FALSE)</f>
        <v>13</v>
      </c>
      <c r="F126" s="592">
        <f ca="1">VLOOKUP(RawData!$F128,RawData!$A$52:$AC$115,COLUMN(RawData!V104)+5,FALSE)</f>
        <v>13</v>
      </c>
      <c r="G126" s="620">
        <f ca="1">VLOOKUP(RawData!$F128,RawData!$A$52:$AC$115,COLUMN(RawData!T104)+5,FALSE)</f>
        <v>0</v>
      </c>
      <c r="H126" s="621" t="str">
        <f ca="1">VLOOKUP(RawData!$F128,RawData!$A$52:$AC$115,COLUMN(RawData!J104),FALSE)</f>
        <v>Thousand metric tons</v>
      </c>
      <c r="I126" s="592" t="str">
        <f ca="1">OFFSET(Sources!F9,0,RawData!$C$39*2)</f>
        <v>The higher, the better</v>
      </c>
      <c r="J126" s="622">
        <f ca="1">VLOOKUP(RawData!$F128,RawData!$A$52:$AC$115,COLUMN(RawData!W104)+5,FALSE)</f>
        <v>138.9</v>
      </c>
      <c r="K126" s="620">
        <f ca="1">VLOOKUP(RawData!$F128,RawData!$A$52:$AC$115,COLUMN(RawData!X104)+5,FALSE)</f>
        <v>0</v>
      </c>
    </row>
    <row r="127" spans="2:11">
      <c r="B127" s="723"/>
      <c r="C127" s="723"/>
      <c r="D127" s="595" t="s">
        <v>510</v>
      </c>
      <c r="E127" s="592">
        <f ca="1">VLOOKUP(RawData!$F129,RawData!$A$52:$AC$115,COLUMN(RawData!U105)+5,FALSE)</f>
        <v>9</v>
      </c>
      <c r="F127" s="592">
        <f ca="1">VLOOKUP(RawData!$F129,RawData!$A$52:$AC$115,COLUMN(RawData!V105)+5,FALSE)</f>
        <v>9</v>
      </c>
      <c r="G127" s="620">
        <f ca="1">VLOOKUP(RawData!$F129,RawData!$A$52:$AC$115,COLUMN(RawData!T105)+5,FALSE)</f>
        <v>0</v>
      </c>
      <c r="H127" s="621" t="str">
        <f ca="1">VLOOKUP(RawData!$F129,RawData!$A$52:$AC$115,COLUMN(RawData!J105),FALSE)</f>
        <v>Thousand metric tons</v>
      </c>
      <c r="I127" s="592" t="str">
        <f ca="1">OFFSET(Sources!F10,0,RawData!$C$39*2)</f>
        <v>The higher, the better</v>
      </c>
      <c r="J127" s="622">
        <f ca="1">VLOOKUP(RawData!$F129,RawData!$A$52:$AC$115,COLUMN(RawData!W105)+5,FALSE)</f>
        <v>547.29999999999995</v>
      </c>
      <c r="K127" s="620">
        <f ca="1">VLOOKUP(RawData!$F129,RawData!$A$52:$AC$115,COLUMN(RawData!X105)+5,FALSE)</f>
        <v>0</v>
      </c>
    </row>
    <row r="128" spans="2:11">
      <c r="B128" s="723"/>
      <c r="C128" s="723" t="s">
        <v>499</v>
      </c>
      <c r="D128" s="595" t="s">
        <v>333</v>
      </c>
      <c r="E128" s="592">
        <f ca="1">VLOOKUP(RawData!$F130,RawData!$A$52:$AC$115,COLUMN(RawData!U106)+5,FALSE)</f>
        <v>11</v>
      </c>
      <c r="F128" s="592">
        <f ca="1">VLOOKUP(RawData!$F130,RawData!$A$52:$AC$115,COLUMN(RawData!V106)+5,FALSE)</f>
        <v>11</v>
      </c>
      <c r="G128" s="620">
        <f ca="1">VLOOKUP(RawData!$F130,RawData!$A$52:$AC$115,COLUMN(RawData!T106)+5,FALSE)</f>
        <v>0</v>
      </c>
      <c r="H128" s="621" t="str">
        <f ca="1">VLOOKUP(RawData!$F130,RawData!$A$52:$AC$115,COLUMN(RawData!J106),FALSE)</f>
        <v>Thousand metric tons</v>
      </c>
      <c r="I128" s="592" t="str">
        <f ca="1">OFFSET(Sources!F11,0,RawData!$C$39*2)</f>
        <v>The higher, the better</v>
      </c>
      <c r="J128" s="622">
        <f ca="1">VLOOKUP(RawData!$F130,RawData!$A$52:$AC$115,COLUMN(RawData!W106)+5,FALSE)</f>
        <v>74000</v>
      </c>
      <c r="K128" s="620">
        <f ca="1">VLOOKUP(RawData!$F130,RawData!$A$52:$AC$115,COLUMN(RawData!X106)+5,FALSE)</f>
        <v>0</v>
      </c>
    </row>
    <row r="129" spans="2:11">
      <c r="B129" s="723"/>
      <c r="C129" s="723"/>
      <c r="D129" s="595" t="s">
        <v>509</v>
      </c>
      <c r="E129" s="592">
        <f ca="1">VLOOKUP(RawData!$F131,RawData!$A$52:$AC$115,COLUMN(RawData!U107)+5,FALSE)</f>
        <v>10</v>
      </c>
      <c r="F129" s="592">
        <f ca="1">VLOOKUP(RawData!$F131,RawData!$A$52:$AC$115,COLUMN(RawData!V107)+5,FALSE)</f>
        <v>10</v>
      </c>
      <c r="G129" s="620">
        <f ca="1">VLOOKUP(RawData!$F131,RawData!$A$52:$AC$115,COLUMN(RawData!T107)+5,FALSE)</f>
        <v>0</v>
      </c>
      <c r="H129" s="621" t="str">
        <f ca="1">VLOOKUP(RawData!$F131,RawData!$A$52:$AC$115,COLUMN(RawData!J107),FALSE)</f>
        <v>Thousand metric tons</v>
      </c>
      <c r="I129" s="592" t="str">
        <f ca="1">OFFSET(Sources!F12,0,RawData!$C$39*2)</f>
        <v>The higher, the better</v>
      </c>
      <c r="J129" s="622">
        <f ca="1">VLOOKUP(RawData!$F131,RawData!$A$52:$AC$115,COLUMN(RawData!W107)+5,FALSE)</f>
        <v>850</v>
      </c>
      <c r="K129" s="620">
        <f ca="1">VLOOKUP(RawData!$F131,RawData!$A$52:$AC$115,COLUMN(RawData!X107)+5,FALSE)</f>
        <v>0</v>
      </c>
    </row>
    <row r="130" spans="2:11">
      <c r="B130" s="723"/>
      <c r="C130" s="723"/>
      <c r="D130" s="595" t="s">
        <v>510</v>
      </c>
      <c r="E130" s="592">
        <f ca="1">VLOOKUP(RawData!$F132,RawData!$A$52:$AC$115,COLUMN(RawData!U108)+5,FALSE)</f>
        <v>0</v>
      </c>
      <c r="F130" s="592">
        <f ca="1">VLOOKUP(RawData!$F132,RawData!$A$52:$AC$115,COLUMN(RawData!V108)+5,FALSE)</f>
        <v>0</v>
      </c>
      <c r="G130" s="620">
        <f ca="1">VLOOKUP(RawData!$F132,RawData!$A$52:$AC$115,COLUMN(RawData!T108)+5,FALSE)</f>
        <v>0</v>
      </c>
      <c r="H130" s="621" t="str">
        <f ca="1">VLOOKUP(RawData!$F132,RawData!$A$52:$AC$115,COLUMN(RawData!J108),FALSE)</f>
        <v>Thousand metric tons</v>
      </c>
      <c r="I130" s="592" t="str">
        <f ca="1">OFFSET(Sources!F13,0,RawData!$C$39*2)</f>
        <v>N/A</v>
      </c>
      <c r="J130" s="622">
        <f ca="1">VLOOKUP(RawData!$F132,RawData!$A$52:$AC$115,COLUMN(RawData!W108)+5,FALSE)</f>
        <v>0</v>
      </c>
      <c r="K130" s="620">
        <f ca="1">VLOOKUP(RawData!$F132,RawData!$A$52:$AC$115,COLUMN(RawData!X108)+5,FALSE)</f>
        <v>0</v>
      </c>
    </row>
    <row r="131" spans="2:11">
      <c r="B131" s="723"/>
      <c r="C131" s="723" t="s">
        <v>33</v>
      </c>
      <c r="D131" s="595" t="s">
        <v>333</v>
      </c>
      <c r="E131" s="592">
        <f ca="1">VLOOKUP(RawData!$F133,RawData!$A$52:$AC$115,COLUMN(RawData!U109)+5,FALSE)</f>
        <v>3</v>
      </c>
      <c r="F131" s="592">
        <f ca="1">VLOOKUP(RawData!$F133,RawData!$A$52:$AC$115,COLUMN(RawData!V109)+5,FALSE)</f>
        <v>14</v>
      </c>
      <c r="G131" s="620">
        <f ca="1">VLOOKUP(RawData!$F133,RawData!$A$52:$AC$115,COLUMN(RawData!T109)+5,FALSE)</f>
        <v>2700</v>
      </c>
      <c r="H131" s="621" t="str">
        <f ca="1">VLOOKUP(RawData!$F133,RawData!$A$52:$AC$115,COLUMN(RawData!J109),FALSE)</f>
        <v>Thousand metric tons</v>
      </c>
      <c r="I131" s="592" t="str">
        <f ca="1">OFFSET(Sources!F14,0,RawData!$C$39*2)</f>
        <v>The higher, the better</v>
      </c>
      <c r="J131" s="622">
        <f ca="1">VLOOKUP(RawData!$F133,RawData!$A$52:$AC$115,COLUMN(RawData!W109)+5,FALSE)</f>
        <v>9300</v>
      </c>
      <c r="K131" s="620">
        <f ca="1">VLOOKUP(RawData!$F133,RawData!$A$52:$AC$115,COLUMN(RawData!X109)+5,FALSE)</f>
        <v>0</v>
      </c>
    </row>
    <row r="132" spans="2:11" s="554" customFormat="1" ht="25.5">
      <c r="B132" s="723"/>
      <c r="C132" s="723"/>
      <c r="D132" s="616" t="s">
        <v>509</v>
      </c>
      <c r="E132" s="621">
        <f ca="1">VLOOKUP(RawData!$F134,RawData!$A$52:$AC$115,COLUMN(RawData!U110)+5,FALSE)</f>
        <v>4</v>
      </c>
      <c r="F132" s="621">
        <f ca="1">VLOOKUP(RawData!$F134,RawData!$A$52:$AC$115,COLUMN(RawData!V110)+5,FALSE)</f>
        <v>8</v>
      </c>
      <c r="G132" s="659">
        <f ca="1">VLOOKUP(RawData!$F134,RawData!$A$52:$AC$115,COLUMN(RawData!T110)+5,FALSE)</f>
        <v>55.3</v>
      </c>
      <c r="H132" s="621" t="str">
        <f ca="1">VLOOKUP(RawData!$F134,RawData!$A$52:$AC$115,COLUMN(RawData!J110),FALSE)</f>
        <v>Thousand metric tons lithium carbonate equivalent</v>
      </c>
      <c r="I132" s="621" t="str">
        <f ca="1">OFFSET(Sources!F15,0,RawData!$C$39*2)</f>
        <v>The higher, the better</v>
      </c>
      <c r="J132" s="660">
        <f ca="1">VLOOKUP(RawData!$F134,RawData!$A$52:$AC$115,COLUMN(RawData!W110)+5,FALSE)</f>
        <v>319.58999999999997</v>
      </c>
      <c r="K132" s="659">
        <f ca="1">VLOOKUP(RawData!$F134,RawData!$A$52:$AC$115,COLUMN(RawData!X110)+5,FALSE)</f>
        <v>0</v>
      </c>
    </row>
    <row r="133" spans="2:11" s="554" customFormat="1" ht="25.5">
      <c r="B133" s="723"/>
      <c r="C133" s="723"/>
      <c r="D133" s="616" t="s">
        <v>510</v>
      </c>
      <c r="E133" s="621">
        <f ca="1">VLOOKUP(RawData!$F135,RawData!$A$52:$AC$115,COLUMN(RawData!U111)+5,FALSE)</f>
        <v>4</v>
      </c>
      <c r="F133" s="621">
        <f ca="1">VLOOKUP(RawData!$F135,RawData!$A$52:$AC$115,COLUMN(RawData!V111)+5,FALSE)</f>
        <v>7</v>
      </c>
      <c r="G133" s="659">
        <f ca="1">VLOOKUP(RawData!$F135,RawData!$A$52:$AC$115,COLUMN(RawData!T111)+5,FALSE)</f>
        <v>33.5</v>
      </c>
      <c r="H133" s="621" t="str">
        <f ca="1">VLOOKUP(RawData!$F135,RawData!$A$52:$AC$115,COLUMN(RawData!J111),FALSE)</f>
        <v>Thousand metric tons lithium carbonate equivalent</v>
      </c>
      <c r="I133" s="621" t="str">
        <f ca="1">OFFSET(Sources!F16,0,RawData!$C$39*2)</f>
        <v>The higher, the better</v>
      </c>
      <c r="J133" s="660">
        <f ca="1">VLOOKUP(RawData!$F135,RawData!$A$52:$AC$115,COLUMN(RawData!W111)+5,FALSE)</f>
        <v>807.12199999999996</v>
      </c>
      <c r="K133" s="659">
        <f ca="1">VLOOKUP(RawData!$F135,RawData!$A$52:$AC$115,COLUMN(RawData!X111)+5,FALSE)</f>
        <v>0</v>
      </c>
    </row>
    <row r="134" spans="2:11">
      <c r="B134" s="723"/>
      <c r="C134" s="723" t="s">
        <v>37</v>
      </c>
      <c r="D134" s="595" t="s">
        <v>333</v>
      </c>
      <c r="E134" s="592">
        <f ca="1">VLOOKUP(RawData!$F136,RawData!$A$52:$AC$115,COLUMN(RawData!U112)+5,FALSE)</f>
        <v>10</v>
      </c>
      <c r="F134" s="592">
        <f ca="1">VLOOKUP(RawData!$F136,RawData!$A$52:$AC$115,COLUMN(RawData!V112)+5,FALSE)</f>
        <v>10</v>
      </c>
      <c r="G134" s="620">
        <f ca="1">VLOOKUP(RawData!$F136,RawData!$A$52:$AC$115,COLUMN(RawData!T112)+5,FALSE)</f>
        <v>0</v>
      </c>
      <c r="H134" s="621" t="str">
        <f ca="1">VLOOKUP(RawData!$F136,RawData!$A$52:$AC$115,COLUMN(RawData!J112),FALSE)</f>
        <v>Thousand metric tons</v>
      </c>
      <c r="I134" s="592" t="str">
        <f ca="1">OFFSET(Sources!F17,0,RawData!$C$39*2)</f>
        <v>The higher, the better</v>
      </c>
      <c r="J134" s="622">
        <f ca="1">VLOOKUP(RawData!$F136,RawData!$A$52:$AC$115,COLUMN(RawData!W112)+5,FALSE)</f>
        <v>640000</v>
      </c>
      <c r="K134" s="620">
        <f ca="1">VLOOKUP(RawData!$F136,RawData!$A$52:$AC$115,COLUMN(RawData!X112)+5,FALSE)</f>
        <v>0</v>
      </c>
    </row>
    <row r="135" spans="2:11">
      <c r="B135" s="723"/>
      <c r="C135" s="723"/>
      <c r="D135" s="595" t="s">
        <v>509</v>
      </c>
      <c r="E135" s="592">
        <f ca="1">VLOOKUP(RawData!$F137,RawData!$A$52:$AC$115,COLUMN(RawData!U113)+5,FALSE)</f>
        <v>11</v>
      </c>
      <c r="F135" s="592">
        <f ca="1">VLOOKUP(RawData!$F137,RawData!$A$52:$AC$115,COLUMN(RawData!V113)+5,FALSE)</f>
        <v>11</v>
      </c>
      <c r="G135" s="620">
        <f ca="1">VLOOKUP(RawData!$F137,RawData!$A$52:$AC$115,COLUMN(RawData!T113)+5,FALSE)</f>
        <v>0</v>
      </c>
      <c r="H135" s="621" t="str">
        <f ca="1">VLOOKUP(RawData!$F137,RawData!$A$52:$AC$115,COLUMN(RawData!J113),FALSE)</f>
        <v>Thousand metric tons</v>
      </c>
      <c r="I135" s="592" t="str">
        <f ca="1">OFFSET(Sources!F18,0,RawData!$C$39*2)</f>
        <v>The higher, the better</v>
      </c>
      <c r="J135" s="622">
        <f ca="1">VLOOKUP(RawData!$F137,RawData!$A$52:$AC$115,COLUMN(RawData!W113)+5,FALSE)</f>
        <v>7612</v>
      </c>
      <c r="K135" s="620">
        <f ca="1">VLOOKUP(RawData!$F137,RawData!$A$52:$AC$115,COLUMN(RawData!X113)+5,FALSE)</f>
        <v>0</v>
      </c>
    </row>
    <row r="136" spans="2:11">
      <c r="B136" s="723"/>
      <c r="C136" s="723"/>
      <c r="D136" s="595" t="s">
        <v>510</v>
      </c>
      <c r="E136" s="592">
        <f ca="1">VLOOKUP(RawData!$F138,RawData!$A$52:$AC$115,COLUMN(RawData!U114)+5,FALSE)</f>
        <v>5</v>
      </c>
      <c r="F136" s="592">
        <f ca="1">VLOOKUP(RawData!$F138,RawData!$A$52:$AC$115,COLUMN(RawData!V114)+5,FALSE)</f>
        <v>5</v>
      </c>
      <c r="G136" s="620">
        <f ca="1">VLOOKUP(RawData!$F138,RawData!$A$52:$AC$115,COLUMN(RawData!T114)+5,FALSE)</f>
        <v>0</v>
      </c>
      <c r="H136" s="621" t="str">
        <f ca="1">VLOOKUP(RawData!$F138,RawData!$A$52:$AC$115,COLUMN(RawData!J114),FALSE)</f>
        <v>Thousand metric tons</v>
      </c>
      <c r="I136" s="592" t="str">
        <f ca="1">OFFSET(Sources!F19,0,RawData!$C$39*2)</f>
        <v>The higher, the better</v>
      </c>
      <c r="J136" s="622">
        <f ca="1">VLOOKUP(RawData!$F138,RawData!$A$52:$AC$115,COLUMN(RawData!W114)+5,FALSE)</f>
        <v>106.72</v>
      </c>
      <c r="K136" s="620">
        <f ca="1">VLOOKUP(RawData!$F138,RawData!$A$52:$AC$115,COLUMN(RawData!X114)+5,FALSE)</f>
        <v>0</v>
      </c>
    </row>
    <row r="137" spans="2:11">
      <c r="B137" s="723"/>
      <c r="C137" s="723" t="s">
        <v>35</v>
      </c>
      <c r="D137" s="595" t="s">
        <v>333</v>
      </c>
      <c r="E137" s="592">
        <f ca="1">VLOOKUP(RawData!$F139,RawData!$A$52:$AC$115,COLUMN(RawData!U115)+5,FALSE)</f>
        <v>11</v>
      </c>
      <c r="F137" s="592">
        <f ca="1">VLOOKUP(RawData!$F139,RawData!$A$52:$AC$115,COLUMN(RawData!V115)+5,FALSE)</f>
        <v>11</v>
      </c>
      <c r="G137" s="620">
        <f ca="1">VLOOKUP(RawData!$F139,RawData!$A$52:$AC$115,COLUMN(RawData!T115)+5,FALSE)</f>
        <v>0</v>
      </c>
      <c r="H137" s="621" t="str">
        <f ca="1">VLOOKUP(RawData!$F139,RawData!$A$52:$AC$115,COLUMN(RawData!J115),FALSE)</f>
        <v>Thousand metric tons</v>
      </c>
      <c r="I137" s="592" t="str">
        <f ca="1">OFFSET(Sources!F20,0,RawData!$C$39*2)</f>
        <v>The higher, the better</v>
      </c>
      <c r="J137" s="622">
        <f ca="1">VLOOKUP(RawData!$F139,RawData!$A$52:$AC$115,COLUMN(RawData!W115)+5,FALSE)</f>
        <v>21381.0645</v>
      </c>
      <c r="K137" s="620">
        <f ca="1">VLOOKUP(RawData!$F139,RawData!$A$52:$AC$115,COLUMN(RawData!X115)+5,FALSE)</f>
        <v>0</v>
      </c>
    </row>
    <row r="138" spans="2:11">
      <c r="B138" s="723"/>
      <c r="C138" s="723"/>
      <c r="D138" s="595" t="s">
        <v>509</v>
      </c>
      <c r="E138" s="592">
        <f ca="1">VLOOKUP(RawData!$F140,RawData!$A$52:$AC$115,COLUMN(RawData!U116)+5,FALSE)</f>
        <v>13</v>
      </c>
      <c r="F138" s="592">
        <f ca="1">VLOOKUP(RawData!$F140,RawData!$A$52:$AC$115,COLUMN(RawData!V116)+5,FALSE)</f>
        <v>13</v>
      </c>
      <c r="G138" s="620">
        <f ca="1">VLOOKUP(RawData!$F140,RawData!$A$52:$AC$115,COLUMN(RawData!T116)+5,FALSE)</f>
        <v>0</v>
      </c>
      <c r="H138" s="621" t="str">
        <f ca="1">VLOOKUP(RawData!$F140,RawData!$A$52:$AC$115,COLUMN(RawData!J116),FALSE)</f>
        <v>Thousand metric tons</v>
      </c>
      <c r="I138" s="592" t="str">
        <f ca="1">OFFSET(Sources!F21,0,RawData!$C$39*2)</f>
        <v>The higher, the better</v>
      </c>
      <c r="J138" s="622">
        <f ca="1">VLOOKUP(RawData!$F140,RawData!$A$52:$AC$115,COLUMN(RawData!W116)+5,FALSE)</f>
        <v>301.52999999999997</v>
      </c>
      <c r="K138" s="620">
        <f ca="1">VLOOKUP(RawData!$F140,RawData!$A$52:$AC$115,COLUMN(RawData!X116)+5,FALSE)</f>
        <v>0</v>
      </c>
    </row>
    <row r="139" spans="2:11">
      <c r="B139" s="724"/>
      <c r="C139" s="724"/>
      <c r="D139" s="596" t="s">
        <v>510</v>
      </c>
      <c r="E139" s="593">
        <f ca="1">VLOOKUP(RawData!$F141,RawData!$A$52:$AC$115,COLUMN(RawData!U117)+5,FALSE)</f>
        <v>8</v>
      </c>
      <c r="F139" s="593">
        <f ca="1">VLOOKUP(RawData!$F141,RawData!$A$52:$AC$115,COLUMN(RawData!V117)+5,FALSE)</f>
        <v>8</v>
      </c>
      <c r="G139" s="623">
        <f ca="1">VLOOKUP(RawData!$F141,RawData!$A$52:$AC$115,COLUMN(RawData!T117)+5,FALSE)</f>
        <v>0</v>
      </c>
      <c r="H139" s="624" t="str">
        <f ca="1">VLOOKUP(RawData!$F141,RawData!$A$52:$AC$115,COLUMN(RawData!J117),FALSE)</f>
        <v>Thousand metric tons</v>
      </c>
      <c r="I139" s="593" t="str">
        <f ca="1">OFFSET(Sources!F22,0,RawData!$C$39*2)</f>
        <v>The higher, the better</v>
      </c>
      <c r="J139" s="625">
        <f ca="1">VLOOKUP(RawData!$F141,RawData!$A$52:$AC$115,COLUMN(RawData!W117)+5,FALSE)</f>
        <v>515.38</v>
      </c>
      <c r="K139" s="623">
        <f ca="1">VLOOKUP(RawData!$F141,RawData!$A$52:$AC$115,COLUMN(RawData!X117)+5,FALSE)</f>
        <v>0</v>
      </c>
    </row>
    <row r="140" spans="2:11">
      <c r="B140" s="722" t="s">
        <v>511</v>
      </c>
      <c r="C140" s="588" t="s">
        <v>357</v>
      </c>
      <c r="D140" s="594" t="s">
        <v>512</v>
      </c>
      <c r="E140" s="591">
        <f ca="1">VLOOKUP(RawData!$F142,RawData!$A$52:$AC$115,COLUMN(RawData!U118)+5,FALSE)</f>
        <v>8</v>
      </c>
      <c r="F140" s="591">
        <f ca="1">VLOOKUP(RawData!$F142,RawData!$A$52:$AC$115,COLUMN(RawData!V118)+5,FALSE)</f>
        <v>8</v>
      </c>
      <c r="G140" s="617">
        <f ca="1">VLOOKUP(RawData!$F142,RawData!$A$52:$AC$115,COLUMN(RawData!T118)+5,FALSE)</f>
        <v>0</v>
      </c>
      <c r="H140" s="618" t="str">
        <f ca="1">VLOOKUP(RawData!$F142,RawData!$A$52:$AC$115,COLUMN(RawData!J118),FALSE)</f>
        <v>Metric tons per year</v>
      </c>
      <c r="I140" s="591" t="str">
        <f ca="1">OFFSET(Sources!F23,0,RawData!$C$39*2)</f>
        <v>The higher, the better</v>
      </c>
      <c r="J140" s="619">
        <f ca="1">VLOOKUP(RawData!$F142,RawData!$A$52:$AC$115,COLUMN(RawData!W118)+5,FALSE)</f>
        <v>4595680</v>
      </c>
      <c r="K140" s="617">
        <f ca="1">VLOOKUP(RawData!$F142,RawData!$A$52:$AC$115,COLUMN(RawData!X118)+5,FALSE)</f>
        <v>0</v>
      </c>
    </row>
    <row r="141" spans="2:11">
      <c r="B141" s="723"/>
      <c r="C141" s="589" t="s">
        <v>447</v>
      </c>
      <c r="D141" s="595" t="s">
        <v>513</v>
      </c>
      <c r="E141" s="592">
        <f ca="1">VLOOKUP(RawData!$F143,RawData!$A$52:$AC$115,COLUMN(RawData!U119)+5,FALSE)</f>
        <v>10</v>
      </c>
      <c r="F141" s="592">
        <f ca="1">VLOOKUP(RawData!$F143,RawData!$A$52:$AC$115,COLUMN(RawData!V119)+5,FALSE)</f>
        <v>10</v>
      </c>
      <c r="G141" s="620">
        <f ca="1">VLOOKUP(RawData!$F143,RawData!$A$52:$AC$115,COLUMN(RawData!T119)+5,FALSE)</f>
        <v>0</v>
      </c>
      <c r="H141" s="621" t="str">
        <f ca="1">VLOOKUP(RawData!$F143,RawData!$A$52:$AC$115,COLUMN(RawData!J119),FALSE)</f>
        <v>Metric tons per year</v>
      </c>
      <c r="I141" s="592" t="str">
        <f ca="1">OFFSET(Sources!F24,0,RawData!$C$39*2)</f>
        <v>The higher, the better</v>
      </c>
      <c r="J141" s="622">
        <f ca="1">VLOOKUP(RawData!$F143,RawData!$A$52:$AC$115,COLUMN(RawData!W119)+5,FALSE)</f>
        <v>4975600</v>
      </c>
      <c r="K141" s="620">
        <f ca="1">VLOOKUP(RawData!$F143,RawData!$A$52:$AC$115,COLUMN(RawData!X119)+5,FALSE)</f>
        <v>0</v>
      </c>
    </row>
    <row r="142" spans="2:11">
      <c r="B142" s="723"/>
      <c r="C142" s="589" t="s">
        <v>500</v>
      </c>
      <c r="D142" s="595" t="s">
        <v>64</v>
      </c>
      <c r="E142" s="592">
        <f ca="1">VLOOKUP(RawData!$F144,RawData!$A$52:$AC$115,COLUMN(RawData!U120)+5,FALSE)</f>
        <v>20</v>
      </c>
      <c r="F142" s="592">
        <f ca="1">VLOOKUP(RawData!$F144,RawData!$A$52:$AC$115,COLUMN(RawData!V120)+5,FALSE)</f>
        <v>20</v>
      </c>
      <c r="G142" s="620">
        <f ca="1">VLOOKUP(RawData!$F144,RawData!$A$52:$AC$115,COLUMN(RawData!T120)+5,FALSE)</f>
        <v>0</v>
      </c>
      <c r="H142" s="621" t="str">
        <f ca="1">VLOOKUP(RawData!$F144,RawData!$A$52:$AC$115,COLUMN(RawData!J120),FALSE)</f>
        <v>Gigawatt-hours per year</v>
      </c>
      <c r="I142" s="592" t="str">
        <f ca="1">OFFSET(Sources!F25,0,RawData!$C$39*2)</f>
        <v>The higher, the better</v>
      </c>
      <c r="J142" s="622">
        <f ca="1">VLOOKUP(RawData!$F144,RawData!$A$52:$AC$115,COLUMN(RawData!W120)+5,FALSE)</f>
        <v>2053.87</v>
      </c>
      <c r="K142" s="620">
        <f ca="1">VLOOKUP(RawData!$F144,RawData!$A$52:$AC$115,COLUMN(RawData!X120)+5,FALSE)</f>
        <v>0</v>
      </c>
    </row>
    <row r="143" spans="2:11">
      <c r="B143" s="723"/>
      <c r="C143" s="589" t="s">
        <v>360</v>
      </c>
      <c r="D143" s="595" t="s">
        <v>514</v>
      </c>
      <c r="E143" s="592">
        <f ca="1">VLOOKUP(RawData!$F145,RawData!$A$52:$AC$115,COLUMN(RawData!U121)+5,FALSE)</f>
        <v>10</v>
      </c>
      <c r="F143" s="592">
        <f ca="1">VLOOKUP(RawData!$F145,RawData!$A$52:$AC$115,COLUMN(RawData!V121)+5,FALSE)</f>
        <v>10</v>
      </c>
      <c r="G143" s="620">
        <f ca="1">VLOOKUP(RawData!$F145,RawData!$A$52:$AC$115,COLUMN(RawData!T121)+5,FALSE)</f>
        <v>0</v>
      </c>
      <c r="H143" s="621" t="str">
        <f ca="1">VLOOKUP(RawData!$F145,RawData!$A$52:$AC$115,COLUMN(RawData!J121),FALSE)</f>
        <v>Metric tons per year</v>
      </c>
      <c r="I143" s="592" t="str">
        <f ca="1">OFFSET(Sources!F26,0,RawData!$C$39*2)</f>
        <v>The higher, the better</v>
      </c>
      <c r="J143" s="622">
        <f ca="1">VLOOKUP(RawData!$F145,RawData!$A$52:$AC$115,COLUMN(RawData!W121)+5,FALSE)</f>
        <v>1894580</v>
      </c>
      <c r="K143" s="620">
        <f ca="1">VLOOKUP(RawData!$F145,RawData!$A$52:$AC$115,COLUMN(RawData!X121)+5,FALSE)</f>
        <v>0</v>
      </c>
    </row>
    <row r="144" spans="2:11">
      <c r="B144" s="723"/>
      <c r="C144" s="589" t="s">
        <v>501</v>
      </c>
      <c r="D144" s="595" t="s">
        <v>515</v>
      </c>
      <c r="E144" s="592">
        <f ca="1">VLOOKUP(RawData!$F146,RawData!$A$52:$AC$115,COLUMN(RawData!U122)+5,FALSE)</f>
        <v>7</v>
      </c>
      <c r="F144" s="592">
        <f ca="1">VLOOKUP(RawData!$F146,RawData!$A$52:$AC$115,COLUMN(RawData!V122)+5,FALSE)</f>
        <v>7</v>
      </c>
      <c r="G144" s="620">
        <f ca="1">VLOOKUP(RawData!$F146,RawData!$A$52:$AC$115,COLUMN(RawData!T122)+5,FALSE)</f>
        <v>0</v>
      </c>
      <c r="H144" s="621" t="str">
        <f ca="1">VLOOKUP(RawData!$F146,RawData!$A$52:$AC$115,COLUMN(RawData!J122),FALSE)</f>
        <v>Metric tons per year</v>
      </c>
      <c r="I144" s="592" t="str">
        <f ca="1">OFFSET(Sources!F27,0,RawData!$C$39*2)</f>
        <v>The higher, the better</v>
      </c>
      <c r="J144" s="622">
        <f ca="1">VLOOKUP(RawData!$F146,RawData!$A$52:$AC$115,COLUMN(RawData!W122)+5,FALSE)</f>
        <v>2123000</v>
      </c>
      <c r="K144" s="620">
        <f ca="1">VLOOKUP(RawData!$F146,RawData!$A$52:$AC$115,COLUMN(RawData!X122)+5,FALSE)</f>
        <v>0</v>
      </c>
    </row>
    <row r="145" spans="2:11">
      <c r="B145" s="723"/>
      <c r="C145" s="589" t="s">
        <v>448</v>
      </c>
      <c r="D145" s="595" t="s">
        <v>516</v>
      </c>
      <c r="E145" s="592">
        <f ca="1">VLOOKUP(RawData!$F147,RawData!$A$52:$AC$115,COLUMN(RawData!U123)+5,FALSE)</f>
        <v>5</v>
      </c>
      <c r="F145" s="592">
        <f ca="1">VLOOKUP(RawData!$F147,RawData!$A$52:$AC$115,COLUMN(RawData!V123)+5,FALSE)</f>
        <v>5</v>
      </c>
      <c r="G145" s="620">
        <f ca="1">VLOOKUP(RawData!$F147,RawData!$A$52:$AC$115,COLUMN(RawData!T123)+5,FALSE)</f>
        <v>0</v>
      </c>
      <c r="H145" s="621" t="str">
        <f ca="1">VLOOKUP(RawData!$F147,RawData!$A$52:$AC$115,COLUMN(RawData!J123),FALSE)</f>
        <v>Metric tons per year</v>
      </c>
      <c r="I145" s="592" t="str">
        <f ca="1">OFFSET(Sources!F28,0,RawData!$C$39*2)</f>
        <v>The higher, the better</v>
      </c>
      <c r="J145" s="622">
        <f ca="1">VLOOKUP(RawData!$F147,RawData!$A$52:$AC$115,COLUMN(RawData!W123)+5,FALSE)</f>
        <v>492500</v>
      </c>
      <c r="K145" s="620">
        <f ca="1">VLOOKUP(RawData!$F147,RawData!$A$52:$AC$115,COLUMN(RawData!X123)+5,FALSE)</f>
        <v>0</v>
      </c>
    </row>
    <row r="146" spans="2:11">
      <c r="B146" s="724"/>
      <c r="C146" s="590" t="s">
        <v>271</v>
      </c>
      <c r="D146" s="596" t="s">
        <v>669</v>
      </c>
      <c r="E146" s="593" t="e">
        <f>VLOOKUP(RawData!$F148,RawData!$A$52:$AC$115,COLUMN(RawData!U124)+5,FALSE)</f>
        <v>#N/A</v>
      </c>
      <c r="F146" s="593" t="e">
        <f>VLOOKUP(RawData!$F148,RawData!$A$52:$AC$115,COLUMN(RawData!V124)+5,FALSE)</f>
        <v>#N/A</v>
      </c>
      <c r="G146" s="623" t="e">
        <f>VLOOKUP(RawData!$F148,RawData!$A$52:$AC$115,COLUMN(RawData!T124)+5,FALSE)</f>
        <v>#N/A</v>
      </c>
      <c r="H146" s="624" t="e">
        <f>VLOOKUP(RawData!$F148,RawData!$A$52:$AC$115,COLUMN(RawData!J124),FALSE)</f>
        <v>#N/A</v>
      </c>
      <c r="I146" s="593" t="str">
        <f ca="1">OFFSET(Sources!F29,0,RawData!$C$39*2)</f>
        <v>The higher, the better</v>
      </c>
      <c r="J146" s="625" t="e">
        <f>VLOOKUP(RawData!$F148,RawData!$A$52:$AC$115,COLUMN(RawData!W124)+5,FALSE)</f>
        <v>#N/A</v>
      </c>
      <c r="K146" s="623" t="e">
        <f>VLOOKUP(RawData!$F148,RawData!$A$52:$AC$115,COLUMN(RawData!X124)+5,FALSE)</f>
        <v>#N/A</v>
      </c>
    </row>
    <row r="147" spans="2:11">
      <c r="B147" s="722" t="s">
        <v>449</v>
      </c>
      <c r="C147" s="722" t="s">
        <v>503</v>
      </c>
      <c r="D147" s="594" t="s">
        <v>518</v>
      </c>
      <c r="E147" s="591">
        <f ca="1">VLOOKUP(RawData!$F149,RawData!$A$52:$AC$115,COLUMN(RawData!U125)+5,FALSE)</f>
        <v>26</v>
      </c>
      <c r="F147" s="591">
        <f ca="1">VLOOKUP(RawData!$F149,RawData!$A$52:$AC$115,COLUMN(RawData!V125)+5,FALSE)</f>
        <v>28</v>
      </c>
      <c r="G147" s="617">
        <f ca="1">VLOOKUP(RawData!$F149,RawData!$A$52:$AC$115,COLUMN(RawData!T125)+5,FALSE)</f>
        <v>0.02</v>
      </c>
      <c r="H147" s="618" t="str">
        <f ca="1">VLOOKUP(RawData!$F149,RawData!$A$52:$AC$115,COLUMN(RawData!J125),FALSE)</f>
        <v>Gigawatt-hours</v>
      </c>
      <c r="I147" s="591" t="str">
        <f ca="1">OFFSET(Sources!F30,0,RawData!$C$39*2)</f>
        <v>The higher, the better</v>
      </c>
      <c r="J147" s="619">
        <f ca="1">VLOOKUP(RawData!$F149,RawData!$A$52:$AC$115,COLUMN(RawData!W125)+5,FALSE)</f>
        <v>261.32</v>
      </c>
      <c r="K147" s="617">
        <f ca="1">VLOOKUP(RawData!$F149,RawData!$A$52:$AC$115,COLUMN(RawData!X125)+5,FALSE)</f>
        <v>0</v>
      </c>
    </row>
    <row r="148" spans="2:11">
      <c r="B148" s="723"/>
      <c r="C148" s="723"/>
      <c r="D148" s="595" t="s">
        <v>400</v>
      </c>
      <c r="E148" s="592">
        <f ca="1">VLOOKUP(RawData!$F150,RawData!$A$52:$AC$115,COLUMN(RawData!U126)+5,FALSE)</f>
        <v>17</v>
      </c>
      <c r="F148" s="592">
        <f ca="1">VLOOKUP(RawData!$F150,RawData!$A$52:$AC$115,COLUMN(RawData!V126)+5,FALSE)</f>
        <v>17</v>
      </c>
      <c r="G148" s="620">
        <f ca="1">VLOOKUP(RawData!$F150,RawData!$A$52:$AC$115,COLUMN(RawData!T126)+5,FALSE)</f>
        <v>0</v>
      </c>
      <c r="H148" s="621" t="str">
        <f ca="1">VLOOKUP(RawData!$F150,RawData!$A$52:$AC$115,COLUMN(RawData!J126),FALSE)</f>
        <v>Gigawatt-hours</v>
      </c>
      <c r="I148" s="592" t="str">
        <f ca="1">OFFSET(Sources!F31,0,RawData!$C$39*2)</f>
        <v>The higher, the better</v>
      </c>
      <c r="J148" s="622">
        <f ca="1">VLOOKUP(RawData!$F150,RawData!$A$52:$AC$115,COLUMN(RawData!W126)+5,FALSE)</f>
        <v>29.24</v>
      </c>
      <c r="K148" s="620">
        <f ca="1">VLOOKUP(RawData!$F150,RawData!$A$52:$AC$115,COLUMN(RawData!X126)+5,FALSE)</f>
        <v>0</v>
      </c>
    </row>
    <row r="149" spans="2:11">
      <c r="B149" s="723"/>
      <c r="C149" s="723"/>
      <c r="D149" s="595" t="s">
        <v>401</v>
      </c>
      <c r="E149" s="592">
        <f ca="1">VLOOKUP(RawData!$F151,RawData!$A$52:$AC$115,COLUMN(RawData!U127)+5,FALSE)</f>
        <v>18</v>
      </c>
      <c r="F149" s="592">
        <f ca="1">VLOOKUP(RawData!$F151,RawData!$A$52:$AC$115,COLUMN(RawData!V127)+5,FALSE)</f>
        <v>23</v>
      </c>
      <c r="G149" s="620">
        <f ca="1">VLOOKUP(RawData!$F151,RawData!$A$52:$AC$115,COLUMN(RawData!T127)+5,FALSE)</f>
        <v>0.01</v>
      </c>
      <c r="H149" s="621" t="str">
        <f ca="1">VLOOKUP(RawData!$F151,RawData!$A$52:$AC$115,COLUMN(RawData!J127),FALSE)</f>
        <v>Gigawatt-hours</v>
      </c>
      <c r="I149" s="592" t="str">
        <f ca="1">OFFSET(Sources!F32,0,RawData!$C$39*2)</f>
        <v>The higher, the better</v>
      </c>
      <c r="J149" s="622">
        <f ca="1">VLOOKUP(RawData!$F151,RawData!$A$52:$AC$115,COLUMN(RawData!W127)+5,FALSE)</f>
        <v>7.61</v>
      </c>
      <c r="K149" s="620">
        <f ca="1">VLOOKUP(RawData!$F151,RawData!$A$52:$AC$115,COLUMN(RawData!X127)+5,FALSE)</f>
        <v>0</v>
      </c>
    </row>
    <row r="150" spans="2:11">
      <c r="B150" s="723"/>
      <c r="C150" s="723"/>
      <c r="D150" s="595" t="s">
        <v>519</v>
      </c>
      <c r="E150" s="592">
        <f ca="1">VLOOKUP(RawData!$F152,RawData!$A$52:$AC$115,COLUMN(RawData!U128)+5,FALSE)</f>
        <v>13</v>
      </c>
      <c r="F150" s="592">
        <f ca="1">VLOOKUP(RawData!$F152,RawData!$A$52:$AC$115,COLUMN(RawData!V128)+5,FALSE)</f>
        <v>13</v>
      </c>
      <c r="G150" s="620">
        <f ca="1">VLOOKUP(RawData!$F152,RawData!$A$52:$AC$115,COLUMN(RawData!T128)+5,FALSE)</f>
        <v>0</v>
      </c>
      <c r="H150" s="621" t="str">
        <f ca="1">VLOOKUP(RawData!$F152,RawData!$A$52:$AC$115,COLUMN(RawData!J128),FALSE)</f>
        <v>Gigawatt-hours</v>
      </c>
      <c r="I150" s="592" t="str">
        <f ca="1">OFFSET(Sources!F33,0,RawData!$C$39*2)</f>
        <v>The higher, the better</v>
      </c>
      <c r="J150" s="622">
        <f ca="1">VLOOKUP(RawData!$F152,RawData!$A$52:$AC$115,COLUMN(RawData!W128)+5,FALSE)</f>
        <v>27.12</v>
      </c>
      <c r="K150" s="620">
        <f ca="1">VLOOKUP(RawData!$F152,RawData!$A$52:$AC$115,COLUMN(RawData!X128)+5,FALSE)</f>
        <v>0</v>
      </c>
    </row>
    <row r="151" spans="2:11">
      <c r="B151" s="723"/>
      <c r="C151" s="723"/>
      <c r="D151" s="595" t="s">
        <v>520</v>
      </c>
      <c r="E151" s="592">
        <f ca="1">VLOOKUP(RawData!$F153,RawData!$A$52:$AC$115,COLUMN(RawData!U129)+5,FALSE)</f>
        <v>24</v>
      </c>
      <c r="F151" s="592">
        <f ca="1">VLOOKUP(RawData!$F153,RawData!$A$52:$AC$115,COLUMN(RawData!V129)+5,FALSE)</f>
        <v>30</v>
      </c>
      <c r="G151" s="620">
        <f ca="1">VLOOKUP(RawData!$F153,RawData!$A$52:$AC$115,COLUMN(RawData!T129)+5,FALSE)</f>
        <v>1.9190328259672498E-2</v>
      </c>
      <c r="H151" s="621" t="str">
        <f ca="1">VLOOKUP(RawData!$F153,RawData!$A$52:$AC$115,COLUMN(RawData!J129),FALSE)</f>
        <v>Gigawatt-hours</v>
      </c>
      <c r="I151" s="592" t="str">
        <f ca="1">OFFSET(Sources!F34,0,RawData!$C$39*2)</f>
        <v>The higher, the better</v>
      </c>
      <c r="J151" s="622">
        <f ca="1">VLOOKUP(RawData!$F153,RawData!$A$52:$AC$115,COLUMN(RawData!W129)+5,FALSE)</f>
        <v>44.066922811094059</v>
      </c>
      <c r="K151" s="620">
        <f ca="1">VLOOKUP(RawData!$F153,RawData!$A$52:$AC$115,COLUMN(RawData!X129)+5,FALSE)</f>
        <v>7.5781839224281561E-6</v>
      </c>
    </row>
    <row r="152" spans="2:11">
      <c r="B152" s="724"/>
      <c r="C152" s="590" t="s">
        <v>168</v>
      </c>
      <c r="D152" s="596" t="s">
        <v>168</v>
      </c>
      <c r="E152" s="593">
        <f ca="1">VLOOKUP(RawData!$F154,RawData!$A$52:$AC$115,COLUMN(RawData!U130)+5,FALSE)</f>
        <v>5.0000000000000018</v>
      </c>
      <c r="F152" s="593">
        <f ca="1">VLOOKUP(RawData!$F154,RawData!$A$52:$AC$115,COLUMN(RawData!V130)+5,FALSE)</f>
        <v>6.0000000000000009</v>
      </c>
      <c r="G152" s="623">
        <f ca="1">VLOOKUP(RawData!$F154,RawData!$A$52:$AC$115,COLUMN(RawData!T130)+5,FALSE)</f>
        <v>4.5199999999999996</v>
      </c>
      <c r="H152" s="624" t="str">
        <f ca="1">VLOOKUP(RawData!$F154,RawData!$A$52:$AC$115,COLUMN(RawData!J130),FALSE)</f>
        <v>Gigawatt-hours</v>
      </c>
      <c r="I152" s="593" t="str">
        <f ca="1">OFFSET(Sources!F35,0,RawData!$C$39*2)</f>
        <v>The higher, the better</v>
      </c>
      <c r="J152" s="625">
        <f ca="1">VLOOKUP(RawData!$F154,RawData!$A$52:$AC$115,COLUMN(RawData!W130)+5,FALSE)</f>
        <v>387.3</v>
      </c>
      <c r="K152" s="623">
        <f ca="1">VLOOKUP(RawData!$F154,RawData!$A$52:$AC$115,COLUMN(RawData!X130)+5,FALSE)</f>
        <v>1.62</v>
      </c>
    </row>
    <row r="153" spans="2:11">
      <c r="B153" s="722" t="s">
        <v>406</v>
      </c>
      <c r="C153" s="722" t="s">
        <v>521</v>
      </c>
      <c r="D153" s="594" t="s">
        <v>522</v>
      </c>
      <c r="E153" s="591">
        <f ca="1">VLOOKUP(RawData!$F155,RawData!$A$52:$AC$115,COLUMN(RawData!U131)+5,FALSE)</f>
        <v>19</v>
      </c>
      <c r="F153" s="591">
        <f ca="1">VLOOKUP(RawData!$F155,RawData!$A$52:$AC$115,COLUMN(RawData!V131)+5,FALSE)</f>
        <v>25</v>
      </c>
      <c r="G153" s="617">
        <f ca="1">VLOOKUP(RawData!$F155,RawData!$A$52:$AC$115,COLUMN(RawData!T131)+5,FALSE)</f>
        <v>120</v>
      </c>
      <c r="H153" s="618" t="str">
        <f ca="1">VLOOKUP(RawData!$F155,RawData!$A$52:$AC$115,COLUMN(RawData!J131),FALSE)</f>
        <v>Score</v>
      </c>
      <c r="I153" s="591" t="str">
        <f ca="1">OFFSET(Sources!F36,0,RawData!$C$39*2)</f>
        <v>The higher, the better</v>
      </c>
      <c r="J153" s="619">
        <f ca="1">VLOOKUP(RawData!$F155,RawData!$A$52:$AC$115,COLUMN(RawData!W131)+5,FALSE)</f>
        <v>8542.2000000000007</v>
      </c>
      <c r="K153" s="617">
        <f ca="1">VLOOKUP(RawData!$F155,RawData!$A$52:$AC$115,COLUMN(RawData!X131)+5,FALSE)</f>
        <v>0</v>
      </c>
    </row>
    <row r="154" spans="2:11">
      <c r="B154" s="723"/>
      <c r="C154" s="723"/>
      <c r="D154" s="595" t="s">
        <v>523</v>
      </c>
      <c r="E154" s="592">
        <f ca="1">VLOOKUP(RawData!$F156,RawData!$A$52:$AC$115,COLUMN(RawData!U132)+5,FALSE)</f>
        <v>18</v>
      </c>
      <c r="F154" s="592">
        <f ca="1">VLOOKUP(RawData!$F156,RawData!$A$52:$AC$115,COLUMN(RawData!V132)+5,FALSE)</f>
        <v>30</v>
      </c>
      <c r="G154" s="620">
        <f ca="1">VLOOKUP(RawData!$F156,RawData!$A$52:$AC$115,COLUMN(RawData!T132)+5,FALSE)</f>
        <v>14.88</v>
      </c>
      <c r="H154" s="621" t="str">
        <f ca="1">VLOOKUP(RawData!$F156,RawData!$A$52:$AC$115,COLUMN(RawData!J132),FALSE)</f>
        <v>Score</v>
      </c>
      <c r="I154" s="592" t="str">
        <f ca="1">OFFSET(Sources!F37,0,RawData!$C$39*2)</f>
        <v>The lower, the better</v>
      </c>
      <c r="J154" s="622">
        <f ca="1">VLOOKUP(RawData!$F156,RawData!$A$52:$AC$115,COLUMN(RawData!W132)+5,FALSE)</f>
        <v>46.86</v>
      </c>
      <c r="K154" s="620">
        <f ca="1">VLOOKUP(RawData!$F156,RawData!$A$52:$AC$115,COLUMN(RawData!X132)+5,FALSE)</f>
        <v>0.94</v>
      </c>
    </row>
    <row r="155" spans="2:11" ht="25.5">
      <c r="B155" s="723"/>
      <c r="C155" s="723"/>
      <c r="D155" s="595" t="s">
        <v>524</v>
      </c>
      <c r="E155" s="592">
        <f ca="1">VLOOKUP(RawData!$F157,RawData!$A$52:$AC$115,COLUMN(RawData!U133)+5,FALSE)</f>
        <v>13</v>
      </c>
      <c r="F155" s="592">
        <f ca="1">VLOOKUP(RawData!$F157,RawData!$A$52:$AC$115,COLUMN(RawData!V133)+5,FALSE)</f>
        <v>30</v>
      </c>
      <c r="G155" s="620">
        <f ca="1">VLOOKUP(RawData!$F157,RawData!$A$52:$AC$115,COLUMN(RawData!T133)+5,FALSE)</f>
        <v>361.16</v>
      </c>
      <c r="H155" s="621" t="str">
        <f ca="1">VLOOKUP(RawData!$F157,RawData!$A$52:$AC$115,COLUMN(RawData!J133),FALSE)</f>
        <v>Grams of CO2 equivalent per kilowatt-hour</v>
      </c>
      <c r="I155" s="592" t="str">
        <f ca="1">OFFSET(Sources!F38,0,RawData!$C$39*2)</f>
        <v>The lower, the better</v>
      </c>
      <c r="J155" s="622">
        <f ca="1">VLOOKUP(RawData!$F157,RawData!$A$52:$AC$115,COLUMN(RawData!W133)+5,FALSE)</f>
        <v>841.3</v>
      </c>
      <c r="K155" s="620">
        <f ca="1">VLOOKUP(RawData!$F157,RawData!$A$52:$AC$115,COLUMN(RawData!X133)+5,FALSE)</f>
        <v>1.46</v>
      </c>
    </row>
    <row r="156" spans="2:11">
      <c r="B156" s="723"/>
      <c r="C156" s="723"/>
      <c r="D156" s="595" t="s">
        <v>525</v>
      </c>
      <c r="E156" s="592">
        <f ca="1">VLOOKUP(RawData!$F158,RawData!$A$52:$AC$115,COLUMN(RawData!U134)+5,FALSE)</f>
        <v>22</v>
      </c>
      <c r="F156" s="592">
        <f ca="1">VLOOKUP(RawData!$F158,RawData!$A$52:$AC$115,COLUMN(RawData!V134)+5,FALSE)</f>
        <v>30</v>
      </c>
      <c r="G156" s="620">
        <f ca="1">VLOOKUP(RawData!$F158,RawData!$A$52:$AC$115,COLUMN(RawData!T134)+5,FALSE)</f>
        <v>38.9</v>
      </c>
      <c r="H156" s="621" t="str">
        <f ca="1">VLOOKUP(RawData!$F158,RawData!$A$52:$AC$115,COLUMN(RawData!J134),FALSE)</f>
        <v>Score</v>
      </c>
      <c r="I156" s="592" t="str">
        <f ca="1">OFFSET(Sources!F39,0,RawData!$C$39*2)</f>
        <v>The higher, the better</v>
      </c>
      <c r="J156" s="622">
        <f ca="1">VLOOKUP(RawData!$F158,RawData!$A$52:$AC$115,COLUMN(RawData!W134)+5,FALSE)</f>
        <v>66.8</v>
      </c>
      <c r="K156" s="620">
        <f ca="1">VLOOKUP(RawData!$F158,RawData!$A$52:$AC$115,COLUMN(RawData!X134)+5,FALSE)</f>
        <v>19.3</v>
      </c>
    </row>
    <row r="157" spans="2:11">
      <c r="B157" s="723"/>
      <c r="C157" s="723"/>
      <c r="D157" s="595" t="s">
        <v>267</v>
      </c>
      <c r="E157" s="592">
        <f ca="1">VLOOKUP(RawData!$F159,RawData!$A$52:$AC$115,COLUMN(RawData!U135)+5,FALSE)</f>
        <v>15</v>
      </c>
      <c r="F157" s="592">
        <f ca="1">VLOOKUP(RawData!$F159,RawData!$A$52:$AC$115,COLUMN(RawData!V135)+5,FALSE)</f>
        <v>30</v>
      </c>
      <c r="G157" s="620">
        <f ca="1">VLOOKUP(RawData!$F159,RawData!$A$52:$AC$115,COLUMN(RawData!T135)+5,FALSE)</f>
        <v>56.3</v>
      </c>
      <c r="H157" s="621" t="str">
        <f ca="1">VLOOKUP(RawData!$F159,RawData!$A$52:$AC$115,COLUMN(RawData!J135),FALSE)</f>
        <v>Score</v>
      </c>
      <c r="I157" s="592" t="str">
        <f ca="1">OFFSET(Sources!F40,0,RawData!$C$39*2)</f>
        <v>The higher, the better</v>
      </c>
      <c r="J157" s="622">
        <f ca="1">VLOOKUP(RawData!$F159,RawData!$A$52:$AC$115,COLUMN(RawData!W135)+5,FALSE)</f>
        <v>93.4</v>
      </c>
      <c r="K157" s="620">
        <f ca="1">VLOOKUP(RawData!$F159,RawData!$A$52:$AC$115,COLUMN(RawData!X135)+5,FALSE)</f>
        <v>12.5</v>
      </c>
    </row>
    <row r="158" spans="2:11">
      <c r="B158" s="723"/>
      <c r="C158" s="723"/>
      <c r="D158" s="595" t="s">
        <v>526</v>
      </c>
      <c r="E158" s="592">
        <f ca="1">VLOOKUP(RawData!$F160,RawData!$A$52:$AC$115,COLUMN(RawData!U136)+5,FALSE)</f>
        <v>13</v>
      </c>
      <c r="F158" s="592">
        <f ca="1">VLOOKUP(RawData!$F160,RawData!$A$52:$AC$115,COLUMN(RawData!V136)+5,FALSE)</f>
        <v>30</v>
      </c>
      <c r="G158" s="620">
        <f ca="1">VLOOKUP(RawData!$F160,RawData!$A$52:$AC$115,COLUMN(RawData!T136)+5,FALSE)</f>
        <v>104.55</v>
      </c>
      <c r="H158" s="621" t="str">
        <f ca="1">VLOOKUP(RawData!$F160,RawData!$A$52:$AC$115,COLUMN(RawData!J136),FALSE)</f>
        <v>Score</v>
      </c>
      <c r="I158" s="592" t="str">
        <f ca="1">OFFSET(Sources!F41,0,RawData!$C$39*2)</f>
        <v>The higher, the better</v>
      </c>
      <c r="J158" s="622">
        <f ca="1">VLOOKUP(RawData!$F160,RawData!$A$52:$AC$115,COLUMN(RawData!W136)+5,FALSE)</f>
        <v>145.93</v>
      </c>
      <c r="K158" s="620">
        <f ca="1">VLOOKUP(RawData!$F160,RawData!$A$52:$AC$115,COLUMN(RawData!X136)+5,FALSE)</f>
        <v>15.21</v>
      </c>
    </row>
    <row r="159" spans="2:11">
      <c r="B159" s="723"/>
      <c r="C159" s="723" t="s">
        <v>409</v>
      </c>
      <c r="D159" s="595" t="s">
        <v>527</v>
      </c>
      <c r="E159" s="592">
        <f ca="1">VLOOKUP(RawData!$F161,RawData!$A$52:$AC$115,COLUMN(RawData!U137)+5,FALSE)</f>
        <v>16</v>
      </c>
      <c r="F159" s="592">
        <f ca="1">VLOOKUP(RawData!$F161,RawData!$A$52:$AC$115,COLUMN(RawData!V137)+5,FALSE)</f>
        <v>30</v>
      </c>
      <c r="G159" s="620">
        <f ca="1">VLOOKUP(RawData!$F161,RawData!$A$52:$AC$115,COLUMN(RawData!T137)+5,FALSE)</f>
        <v>0.65</v>
      </c>
      <c r="H159" s="621" t="str">
        <f ca="1">VLOOKUP(RawData!$F161,RawData!$A$52:$AC$115,COLUMN(RawData!J137),FALSE)</f>
        <v>Score</v>
      </c>
      <c r="I159" s="592" t="str">
        <f ca="1">OFFSET(Sources!F42,0,RawData!$C$39*2)</f>
        <v>The higher, the better</v>
      </c>
      <c r="J159" s="622">
        <f ca="1">VLOOKUP(RawData!$F161,RawData!$A$52:$AC$115,COLUMN(RawData!W137)+5,FALSE)</f>
        <v>0.9</v>
      </c>
      <c r="K159" s="620">
        <f ca="1">VLOOKUP(RawData!$F161,RawData!$A$52:$AC$115,COLUMN(RawData!X137)+5,FALSE)</f>
        <v>0.32</v>
      </c>
    </row>
    <row r="160" spans="2:11">
      <c r="B160" s="723"/>
      <c r="C160" s="723"/>
      <c r="D160" s="595" t="s">
        <v>528</v>
      </c>
      <c r="E160" s="592">
        <f ca="1">VLOOKUP(RawData!$F162,RawData!$A$52:$AC$115,COLUMN(RawData!U138)+5,FALSE)</f>
        <v>15</v>
      </c>
      <c r="F160" s="592">
        <f ca="1">VLOOKUP(RawData!$F162,RawData!$A$52:$AC$115,COLUMN(RawData!V138)+5,FALSE)</f>
        <v>30</v>
      </c>
      <c r="G160" s="620">
        <f ca="1">VLOOKUP(RawData!$F162,RawData!$A$52:$AC$115,COLUMN(RawData!T138)+5,FALSE)</f>
        <v>0.76</v>
      </c>
      <c r="H160" s="621" t="str">
        <f ca="1">VLOOKUP(RawData!$F162,RawData!$A$52:$AC$115,COLUMN(RawData!J138),FALSE)</f>
        <v>Score</v>
      </c>
      <c r="I160" s="592" t="str">
        <f ca="1">OFFSET(Sources!F43,0,RawData!$C$39*2)</f>
        <v>The higher, the better</v>
      </c>
      <c r="J160" s="622">
        <f ca="1">VLOOKUP(RawData!$F162,RawData!$A$52:$AC$115,COLUMN(RawData!W138)+5,FALSE)</f>
        <v>0.92500000000000004</v>
      </c>
      <c r="K160" s="620">
        <f ca="1">VLOOKUP(RawData!$F162,RawData!$A$52:$AC$115,COLUMN(RawData!X138)+5,FALSE)</f>
        <v>0.51100000000000001</v>
      </c>
    </row>
    <row r="161" spans="2:11">
      <c r="B161" s="723"/>
      <c r="C161" s="723" t="s">
        <v>410</v>
      </c>
      <c r="D161" s="595" t="s">
        <v>529</v>
      </c>
      <c r="E161" s="592">
        <f ca="1">VLOOKUP(RawData!$F163,RawData!$A$52:$AC$115,COLUMN(RawData!U139)+5,FALSE)</f>
        <v>23</v>
      </c>
      <c r="F161" s="592">
        <f ca="1">VLOOKUP(RawData!$F163,RawData!$A$52:$AC$115,COLUMN(RawData!V139)+5,FALSE)</f>
        <v>30</v>
      </c>
      <c r="G161" s="620">
        <f ca="1">VLOOKUP(RawData!$F163,RawData!$A$52:$AC$115,COLUMN(RawData!T139)+5,FALSE)</f>
        <v>-0.45</v>
      </c>
      <c r="H161" s="621" t="str">
        <f ca="1">VLOOKUP(RawData!$F163,RawData!$A$52:$AC$115,COLUMN(RawData!J139),FALSE)</f>
        <v>Score</v>
      </c>
      <c r="I161" s="592" t="str">
        <f ca="1">OFFSET(Sources!F44,0,RawData!$C$39*2)</f>
        <v>The higher, the better</v>
      </c>
      <c r="J161" s="622">
        <f ca="1">VLOOKUP(RawData!$F163,RawData!$A$52:$AC$115,COLUMN(RawData!W139)+5,FALSE)</f>
        <v>2.25</v>
      </c>
      <c r="K161" s="620">
        <f ca="1">VLOOKUP(RawData!$F163,RawData!$A$52:$AC$115,COLUMN(RawData!X139)+5,FALSE)</f>
        <v>-1.54</v>
      </c>
    </row>
    <row r="162" spans="2:11">
      <c r="B162" s="724"/>
      <c r="C162" s="724"/>
      <c r="D162" s="596" t="s">
        <v>530</v>
      </c>
      <c r="E162" s="593">
        <f ca="1">VLOOKUP(RawData!$F164,RawData!$A$52:$AC$115,COLUMN(RawData!U140)+5,FALSE)</f>
        <v>26</v>
      </c>
      <c r="F162" s="593">
        <f ca="1">VLOOKUP(RawData!$F164,RawData!$A$52:$AC$115,COLUMN(RawData!V140)+5,FALSE)</f>
        <v>30</v>
      </c>
      <c r="G162" s="623">
        <f ca="1">VLOOKUP(RawData!$F164,RawData!$A$52:$AC$115,COLUMN(RawData!T140)+5,FALSE)</f>
        <v>-0.28000000000000003</v>
      </c>
      <c r="H162" s="624" t="str">
        <f ca="1">VLOOKUP(RawData!$F164,RawData!$A$52:$AC$115,COLUMN(RawData!J140),FALSE)</f>
        <v>Score</v>
      </c>
      <c r="I162" s="593" t="str">
        <f ca="1">OFFSET(Sources!F45,0,RawData!$C$39*2)</f>
        <v>The higher, the better</v>
      </c>
      <c r="J162" s="625">
        <f ca="1">VLOOKUP(RawData!$F164,RawData!$A$52:$AC$115,COLUMN(RawData!W140)+5,FALSE)</f>
        <v>1.94</v>
      </c>
      <c r="K162" s="623">
        <f ca="1">VLOOKUP(RawData!$F164,RawData!$A$52:$AC$115,COLUMN(RawData!X140)+5,FALSE)</f>
        <v>-1.75</v>
      </c>
    </row>
    <row r="163" spans="2:11">
      <c r="B163" s="722" t="s">
        <v>325</v>
      </c>
      <c r="C163" s="722" t="s">
        <v>424</v>
      </c>
      <c r="D163" s="594" t="s">
        <v>531</v>
      </c>
      <c r="E163" s="591">
        <f ca="1">VLOOKUP(RawData!$F165,RawData!$A$52:$AC$115,COLUMN(RawData!U141)+5,FALSE)</f>
        <v>7</v>
      </c>
      <c r="F163" s="591">
        <f ca="1">VLOOKUP(RawData!$F165,RawData!$A$52:$AC$115,COLUMN(RawData!V141)+5,FALSE)</f>
        <v>14</v>
      </c>
      <c r="G163" s="617">
        <f ca="1">VLOOKUP(RawData!$F165,RawData!$A$52:$AC$115,COLUMN(RawData!T141)+5,FALSE)</f>
        <v>61.53</v>
      </c>
      <c r="H163" s="618" t="str">
        <f ca="1">VLOOKUP(RawData!$F165,RawData!$A$52:$AC$115,COLUMN(RawData!J141),FALSE)</f>
        <v>Score</v>
      </c>
      <c r="I163" s="591" t="str">
        <f ca="1">OFFSET(Sources!F46,0,RawData!$C$39*2)</f>
        <v>The higher, the better</v>
      </c>
      <c r="J163" s="619">
        <f ca="1">VLOOKUP(RawData!$F165,RawData!$A$52:$AC$115,COLUMN(RawData!W141)+5,FALSE)</f>
        <v>74.8</v>
      </c>
      <c r="K163" s="617">
        <f ca="1">VLOOKUP(RawData!$F165,RawData!$A$52:$AC$115,COLUMN(RawData!X141)+5,FALSE)</f>
        <v>0</v>
      </c>
    </row>
    <row r="164" spans="2:11">
      <c r="B164" s="723"/>
      <c r="C164" s="723"/>
      <c r="D164" s="595" t="s">
        <v>484</v>
      </c>
      <c r="E164" s="592">
        <f ca="1">VLOOKUP(RawData!$F166,RawData!$A$52:$AC$115,COLUMN(RawData!U142)+5,FALSE)</f>
        <v>28</v>
      </c>
      <c r="F164" s="592">
        <f ca="1">VLOOKUP(RawData!$F166,RawData!$A$52:$AC$115,COLUMN(RawData!V142)+5,FALSE)</f>
        <v>30</v>
      </c>
      <c r="G164" s="620">
        <f ca="1">VLOOKUP(RawData!$F166,RawData!$A$52:$AC$115,COLUMN(RawData!T142)+5,FALSE)</f>
        <v>61.2</v>
      </c>
      <c r="H164" s="621" t="str">
        <f ca="1">VLOOKUP(RawData!$F166,RawData!$A$52:$AC$115,COLUMN(RawData!J142),FALSE)</f>
        <v>Score</v>
      </c>
      <c r="I164" s="592" t="str">
        <f ca="1">OFFSET(Sources!F47,0,RawData!$C$39*2)</f>
        <v>The higher, the better</v>
      </c>
      <c r="J164" s="622">
        <f ca="1">VLOOKUP(RawData!$F166,RawData!$A$52:$AC$115,COLUMN(RawData!W142)+5,FALSE)</f>
        <v>89.8</v>
      </c>
      <c r="K164" s="620">
        <f ca="1">VLOOKUP(RawData!$F166,RawData!$A$52:$AC$115,COLUMN(RawData!X142)+5,FALSE)</f>
        <v>59.8</v>
      </c>
    </row>
    <row r="165" spans="2:11">
      <c r="B165" s="723"/>
      <c r="C165" s="723"/>
      <c r="D165" s="595" t="s">
        <v>485</v>
      </c>
      <c r="E165" s="592">
        <f ca="1">VLOOKUP(RawData!$F167,RawData!$A$52:$AC$115,COLUMN(RawData!U143)+5,FALSE)</f>
        <v>14</v>
      </c>
      <c r="F165" s="592">
        <f ca="1">VLOOKUP(RawData!$F167,RawData!$A$52:$AC$115,COLUMN(RawData!V143)+5,FALSE)</f>
        <v>30</v>
      </c>
      <c r="G165" s="620">
        <f ca="1">VLOOKUP(RawData!$F167,RawData!$A$52:$AC$115,COLUMN(RawData!T143)+5,FALSE)</f>
        <v>2.38</v>
      </c>
      <c r="H165" s="621" t="str">
        <f ca="1">VLOOKUP(RawData!$F167,RawData!$A$52:$AC$115,COLUMN(RawData!J143),FALSE)</f>
        <v>Score</v>
      </c>
      <c r="I165" s="592" t="str">
        <f ca="1">OFFSET(Sources!F48,0,RawData!$C$39*2)</f>
        <v>The higher, the better</v>
      </c>
      <c r="J165" s="622">
        <f ca="1">VLOOKUP(RawData!$F167,RawData!$A$52:$AC$115,COLUMN(RawData!W143)+5,FALSE)</f>
        <v>7.8</v>
      </c>
      <c r="K165" s="620">
        <f ca="1">VLOOKUP(RawData!$F167,RawData!$A$52:$AC$115,COLUMN(RawData!X143)+5,FALSE)</f>
        <v>-0.71</v>
      </c>
    </row>
    <row r="166" spans="2:11">
      <c r="B166" s="723"/>
      <c r="C166" s="723"/>
      <c r="D166" s="595" t="s">
        <v>532</v>
      </c>
      <c r="E166" s="592">
        <f ca="1">VLOOKUP(RawData!$F168,RawData!$A$52:$AC$115,COLUMN(RawData!U144)+5,FALSE)</f>
        <v>23</v>
      </c>
      <c r="F166" s="592">
        <f ca="1">VLOOKUP(RawData!$F168,RawData!$A$52:$AC$115,COLUMN(RawData!V144)+5,FALSE)</f>
        <v>29</v>
      </c>
      <c r="G166" s="620">
        <f ca="1">VLOOKUP(RawData!$F168,RawData!$A$52:$AC$115,COLUMN(RawData!T144)+5,FALSE)</f>
        <v>5</v>
      </c>
      <c r="H166" s="621" t="str">
        <f ca="1">VLOOKUP(RawData!$F168,RawData!$A$52:$AC$115,COLUMN(RawData!J144),FALSE)</f>
        <v>Score</v>
      </c>
      <c r="I166" s="592" t="str">
        <f ca="1">OFFSET(Sources!F49,0,RawData!$C$39*2)</f>
        <v>The higher, the better</v>
      </c>
      <c r="J166" s="622">
        <f ca="1">VLOOKUP(RawData!$F168,RawData!$A$52:$AC$115,COLUMN(RawData!W144)+5,FALSE)</f>
        <v>19</v>
      </c>
      <c r="K166" s="620">
        <f ca="1">VLOOKUP(RawData!$F168,RawData!$A$52:$AC$115,COLUMN(RawData!X144)+5,FALSE)</f>
        <v>2</v>
      </c>
    </row>
    <row r="167" spans="2:11">
      <c r="B167" s="723"/>
      <c r="C167" s="723" t="s">
        <v>121</v>
      </c>
      <c r="D167" s="595" t="s">
        <v>533</v>
      </c>
      <c r="E167" s="592">
        <f ca="1">VLOOKUP(RawData!$F169,RawData!$A$52:$AC$115,COLUMN(RawData!U145)+5,FALSE)</f>
        <v>8</v>
      </c>
      <c r="F167" s="592">
        <f ca="1">VLOOKUP(RawData!$F169,RawData!$A$52:$AC$115,COLUMN(RawData!V145)+5,FALSE)</f>
        <v>30</v>
      </c>
      <c r="G167" s="620">
        <f ca="1">VLOOKUP(RawData!$F169,RawData!$A$52:$AC$115,COLUMN(RawData!T145)+5,FALSE)</f>
        <v>108.67</v>
      </c>
      <c r="H167" s="621" t="str">
        <f ca="1">VLOOKUP(RawData!$F169,RawData!$A$52:$AC$115,COLUMN(RawData!J145),FALSE)</f>
        <v>$ per megawatt-hour</v>
      </c>
      <c r="I167" s="592" t="str">
        <f ca="1">OFFSET(Sources!F50,0,RawData!$C$39*2)</f>
        <v>The lower, the better</v>
      </c>
      <c r="J167" s="622">
        <f ca="1">VLOOKUP(RawData!$F169,RawData!$A$52:$AC$115,COLUMN(RawData!W145)+5,FALSE)</f>
        <v>492.42</v>
      </c>
      <c r="K167" s="620">
        <f ca="1">VLOOKUP(RawData!$F169,RawData!$A$52:$AC$115,COLUMN(RawData!X145)+5,FALSE)</f>
        <v>75.08</v>
      </c>
    </row>
    <row r="168" spans="2:11">
      <c r="B168" s="723"/>
      <c r="C168" s="723"/>
      <c r="D168" s="595" t="s">
        <v>121</v>
      </c>
      <c r="E168" s="592">
        <f ca="1">VLOOKUP(RawData!$F170,RawData!$A$52:$AC$115,COLUMN(RawData!U146)+5,FALSE)</f>
        <v>22</v>
      </c>
      <c r="F168" s="592">
        <f ca="1">VLOOKUP(RawData!$F170,RawData!$A$52:$AC$115,COLUMN(RawData!V146)+5,FALSE)</f>
        <v>30</v>
      </c>
      <c r="G168" s="620">
        <f ca="1">VLOOKUP(RawData!$F170,RawData!$A$52:$AC$115,COLUMN(RawData!T146)+5,FALSE)</f>
        <v>39.9</v>
      </c>
      <c r="H168" s="621" t="str">
        <f ca="1">VLOOKUP(RawData!$F170,RawData!$A$52:$AC$115,COLUMN(RawData!J146),FALSE)</f>
        <v>Score</v>
      </c>
      <c r="I168" s="592" t="str">
        <f ca="1">OFFSET(Sources!F51,0,RawData!$C$39*2)</f>
        <v>The higher, the better</v>
      </c>
      <c r="J168" s="622">
        <f ca="1">VLOOKUP(RawData!$F170,RawData!$A$52:$AC$115,COLUMN(RawData!W146)+5,FALSE)</f>
        <v>69.2</v>
      </c>
      <c r="K168" s="620">
        <f ca="1">VLOOKUP(RawData!$F170,RawData!$A$52:$AC$115,COLUMN(RawData!X146)+5,FALSE)</f>
        <v>19</v>
      </c>
    </row>
    <row r="169" spans="2:11" ht="25.5">
      <c r="B169" s="723"/>
      <c r="C169" s="723" t="s">
        <v>117</v>
      </c>
      <c r="D169" s="595" t="s">
        <v>534</v>
      </c>
      <c r="E169" s="592">
        <f ca="1">VLOOKUP(RawData!$F171,RawData!$A$52:$AC$115,COLUMN(RawData!U147)+5,FALSE)</f>
        <v>24</v>
      </c>
      <c r="F169" s="592">
        <f ca="1">VLOOKUP(RawData!$F171,RawData!$A$52:$AC$115,COLUMN(RawData!V147)+5,FALSE)</f>
        <v>30</v>
      </c>
      <c r="G169" s="620">
        <f ca="1">VLOOKUP(RawData!$F171,RawData!$A$52:$AC$115,COLUMN(RawData!T147)+5,FALSE)</f>
        <v>16.5</v>
      </c>
      <c r="H169" s="621" t="str">
        <f ca="1">VLOOKUP(RawData!$F171,RawData!$A$52:$AC$115,COLUMN(RawData!J147),FALSE)</f>
        <v>Percentage of gross domestic product</v>
      </c>
      <c r="I169" s="592" t="str">
        <f ca="1">OFFSET(Sources!F52,0,RawData!$C$39*2)</f>
        <v>The higher, the better</v>
      </c>
      <c r="J169" s="622">
        <f ca="1">VLOOKUP(RawData!$F171,RawData!$A$52:$AC$115,COLUMN(RawData!W147)+5,FALSE)</f>
        <v>87.3</v>
      </c>
      <c r="K169" s="620">
        <f ca="1">VLOOKUP(RawData!$F171,RawData!$A$52:$AC$115,COLUMN(RawData!X147)+5,FALSE)</f>
        <v>0</v>
      </c>
    </row>
    <row r="170" spans="2:11">
      <c r="B170" s="723"/>
      <c r="C170" s="723"/>
      <c r="D170" s="595" t="s">
        <v>535</v>
      </c>
      <c r="E170" s="592">
        <f ca="1">VLOOKUP(RawData!$F172,RawData!$A$52:$AC$115,COLUMN(RawData!U148)+5,FALSE)</f>
        <v>25</v>
      </c>
      <c r="F170" s="592">
        <f ca="1">VLOOKUP(RawData!$F172,RawData!$A$52:$AC$115,COLUMN(RawData!V148)+5,FALSE)</f>
        <v>30</v>
      </c>
      <c r="G170" s="620">
        <f ca="1">VLOOKUP(RawData!$F172,RawData!$A$52:$AC$115,COLUMN(RawData!T148)+5,FALSE)</f>
        <v>13</v>
      </c>
      <c r="H170" s="621" t="str">
        <f ca="1">VLOOKUP(RawData!$F172,RawData!$A$52:$AC$115,COLUMN(RawData!J148),FALSE)</f>
        <v>Score</v>
      </c>
      <c r="I170" s="592" t="str">
        <f ca="1">OFFSET(Sources!F53,0,RawData!$C$39*2)</f>
        <v>The higher, the better</v>
      </c>
      <c r="J170" s="622">
        <f ca="1">VLOOKUP(RawData!$F172,RawData!$A$52:$AC$115,COLUMN(RawData!W148)+5,FALSE)</f>
        <v>74.3</v>
      </c>
      <c r="K170" s="620">
        <f ca="1">VLOOKUP(RawData!$F172,RawData!$A$52:$AC$115,COLUMN(RawData!X148)+5,FALSE)</f>
        <v>6.1</v>
      </c>
    </row>
    <row r="171" spans="2:11">
      <c r="B171" s="724"/>
      <c r="C171" s="724"/>
      <c r="D171" s="596" t="s">
        <v>536</v>
      </c>
      <c r="E171" s="593">
        <f ca="1">VLOOKUP(RawData!$F173,RawData!$A$52:$AC$115,COLUMN(RawData!U149)+5,FALSE)</f>
        <v>29</v>
      </c>
      <c r="F171" s="593">
        <f ca="1">VLOOKUP(RawData!$F173,RawData!$A$52:$AC$115,COLUMN(RawData!V149)+5,FALSE)</f>
        <v>30</v>
      </c>
      <c r="G171" s="623">
        <f ca="1">VLOOKUP(RawData!$F173,RawData!$A$52:$AC$115,COLUMN(RawData!T149)+5,FALSE)</f>
        <v>14.1</v>
      </c>
      <c r="H171" s="624" t="str">
        <f ca="1">VLOOKUP(RawData!$F173,RawData!$A$52:$AC$115,COLUMN(RawData!J149),FALSE)</f>
        <v>Percentage</v>
      </c>
      <c r="I171" s="593" t="str">
        <f ca="1">OFFSET(Sources!F54,0,RawData!$C$39*2)</f>
        <v>The higher, the better</v>
      </c>
      <c r="J171" s="625">
        <f ca="1">VLOOKUP(RawData!$F173,RawData!$A$52:$AC$115,COLUMN(RawData!W149)+5,FALSE)</f>
        <v>41</v>
      </c>
      <c r="K171" s="623">
        <f ca="1">VLOOKUP(RawData!$F173,RawData!$A$52:$AC$115,COLUMN(RawData!X149)+5,FALSE)</f>
        <v>4</v>
      </c>
    </row>
    <row r="172" spans="2:11">
      <c r="B172" s="650" t="s">
        <v>651</v>
      </c>
      <c r="C172" s="650"/>
      <c r="D172" s="650"/>
      <c r="E172" s="650"/>
      <c r="F172" s="650"/>
      <c r="G172" s="650"/>
      <c r="H172" s="650"/>
      <c r="I172" s="650"/>
      <c r="J172" s="650"/>
      <c r="K172" s="650"/>
    </row>
  </sheetData>
  <sheetProtection algorithmName="SHA-512" hashValue="olfD6Bzx/bEdPApv51PBSoU8OFRI+vhVSHQBFeaX79fG4Bc26gpzrQ0xozzaBRZR4+6LGfN928ajFFuLaKWiAQ==" saltValue="XPbjmObm2u5Ij6H8Lsfblg==" spinCount="100000" sheet="1" objects="1" scenarios="1" formatCells="0"/>
  <protectedRanges>
    <protectedRange sqref="C6:D7" name="Range1"/>
  </protectedRanges>
  <mergeCells count="74">
    <mergeCell ref="B12:B17"/>
    <mergeCell ref="C12:C17"/>
    <mergeCell ref="B18:B25"/>
    <mergeCell ref="C18:C25"/>
    <mergeCell ref="B26:B28"/>
    <mergeCell ref="C26:C28"/>
    <mergeCell ref="B29:B32"/>
    <mergeCell ref="C29:C32"/>
    <mergeCell ref="B33:B36"/>
    <mergeCell ref="C33:C36"/>
    <mergeCell ref="B45:B49"/>
    <mergeCell ref="C45:C49"/>
    <mergeCell ref="K50:K56"/>
    <mergeCell ref="D45:D49"/>
    <mergeCell ref="I45:I49"/>
    <mergeCell ref="J45:J49"/>
    <mergeCell ref="K45:K49"/>
    <mergeCell ref="B50:B56"/>
    <mergeCell ref="C50:C56"/>
    <mergeCell ref="D50:D56"/>
    <mergeCell ref="I50:I56"/>
    <mergeCell ref="J50:J56"/>
    <mergeCell ref="K57:K58"/>
    <mergeCell ref="B59:B61"/>
    <mergeCell ref="C59:C61"/>
    <mergeCell ref="D59:D61"/>
    <mergeCell ref="I59:I61"/>
    <mergeCell ref="J59:J61"/>
    <mergeCell ref="K59:K61"/>
    <mergeCell ref="B57:B58"/>
    <mergeCell ref="C57:C58"/>
    <mergeCell ref="D57:D58"/>
    <mergeCell ref="I57:I58"/>
    <mergeCell ref="J57:J58"/>
    <mergeCell ref="K62:K64"/>
    <mergeCell ref="B73:B87"/>
    <mergeCell ref="C73:C75"/>
    <mergeCell ref="C76:C78"/>
    <mergeCell ref="C79:C81"/>
    <mergeCell ref="C82:C84"/>
    <mergeCell ref="C85:C87"/>
    <mergeCell ref="B62:B64"/>
    <mergeCell ref="C62:C64"/>
    <mergeCell ref="D62:D64"/>
    <mergeCell ref="I62:I64"/>
    <mergeCell ref="J62:J64"/>
    <mergeCell ref="B88:B94"/>
    <mergeCell ref="B95:B100"/>
    <mergeCell ref="C95:C99"/>
    <mergeCell ref="B101:B110"/>
    <mergeCell ref="C101:C106"/>
    <mergeCell ref="C107:C108"/>
    <mergeCell ref="C109:C110"/>
    <mergeCell ref="B111:B119"/>
    <mergeCell ref="C111:C114"/>
    <mergeCell ref="C115:C116"/>
    <mergeCell ref="C117:C119"/>
    <mergeCell ref="B125:B139"/>
    <mergeCell ref="C125:C127"/>
    <mergeCell ref="C128:C130"/>
    <mergeCell ref="C131:C133"/>
    <mergeCell ref="C134:C136"/>
    <mergeCell ref="C137:C139"/>
    <mergeCell ref="B163:B171"/>
    <mergeCell ref="C163:C166"/>
    <mergeCell ref="C167:C168"/>
    <mergeCell ref="C169:C171"/>
    <mergeCell ref="B140:B146"/>
    <mergeCell ref="B147:B152"/>
    <mergeCell ref="C147:C151"/>
    <mergeCell ref="B153:B162"/>
    <mergeCell ref="C153:C158"/>
    <mergeCell ref="C159:C160"/>
    <mergeCell ref="C161:C162"/>
  </mergeCells>
  <conditionalFormatting sqref="C37 E17 E25 E28 E32 E36">
    <cfRule type="cellIs" dxfId="50" priority="5" operator="notEqual">
      <formula>1</formula>
    </cfRule>
    <cfRule type="cellIs" dxfId="49" priority="6" operator="equal">
      <formula>100%</formula>
    </cfRule>
  </conditionalFormatting>
  <dataValidations count="10">
    <dataValidation allowBlank="1" showInputMessage="1" showErrorMessage="1" promptTitle="Minimum" prompt="_x000a_This is the lowest ranked value in a given metric. " sqref="K72 K124" xr:uid="{E3C4D135-2521-400E-97E7-B1FCBA14A8F9}"/>
    <dataValidation allowBlank="1" showInputMessage="1" showErrorMessage="1" promptTitle="Maximum" prompt="_x000a_This is the highest ranked value in a given metric. " sqref="J72 J124" xr:uid="{E7D75BD1-951F-41AF-8BD1-93E057AAE89D}"/>
    <dataValidation allowBlank="1" showInputMessage="1" showErrorMessage="1" promptTitle="Interpretation" prompt="_x000a_This prompt provides insight into how the raw data should be interpreted. " sqref="I72 I124" xr:uid="{FB6F4818-0DB4-4B3A-9FDC-D60986BE1316}"/>
    <dataValidation allowBlank="1" showInputMessage="1" showErrorMessage="1" promptTitle="Rank" prompt="_x000a_Note the ranks displayed in this table are linked only to the given metric. " sqref="E72 E124" xr:uid="{CBB74456-32F5-4A3D-829F-E3B39A256BA5}"/>
    <dataValidation allowBlank="1" showInputMessage="1" showErrorMessage="1" promptTitle="Rank" prompt="_x000a_Note the ranks displayed in this table are linked to the weightings in the table above. " sqref="C44 F44 J44 M44" xr:uid="{3FF3EAB5-BA40-42EF-94B2-440D50A6C7CC}"/>
    <dataValidation allowBlank="1" showInputMessage="1" showErrorMessage="1" promptTitle="Weighting check" prompt="_x000a_The sum of the weighting for the categories should total to 100%. The cell will turn green when this condition has been satisfied." sqref="B37" xr:uid="{A1778AC6-B357-439A-A301-289955175885}"/>
    <dataValidation allowBlank="1" showInputMessage="1" showErrorMessage="1" promptTitle="Weighting check" prompt="_x000a_The sum of the weighting for the subcategories should total to 100%. The cell will turn green when this condition has been satisfied." sqref="D32 D17 D25 D28 D36" xr:uid="{7E38ED10-49F0-4C89-BB5D-CAF42356206F}"/>
    <dataValidation allowBlank="1" showInputMessage="1" showErrorMessage="1" promptTitle="Sample size" prompt="_x000a_The number displays the lowest rank possible in a given subcategory." sqref="G44 N44" xr:uid="{19C89FE7-F1EA-4DC3-95F5-F73CF75469C5}"/>
    <dataValidation allowBlank="1" showInputMessage="1" showErrorMessage="1" promptTitle="Sample size" prompt="_x000a_The number displays the lowest rank possible in a given category." sqref="D44 K44" xr:uid="{7FDB6456-F692-438E-B912-246647CD23B8}"/>
    <dataValidation allowBlank="1" showInputMessage="1" showErrorMessage="1" promptTitle="Sample size" prompt="_x000a_The number displays the lowest rank possible in a given metric." sqref="F72 F124" xr:uid="{989B2E56-FFDB-4F2F-A9E2-191845CF61FF}"/>
  </dataValidations>
  <pageMargins left="0.7" right="0.7" top="0.75" bottom="0.75" header="0.3" footer="0.3"/>
  <pageSetup paperSize="9" orientation="portrait" r:id="rId1"/>
  <ignoredErrors>
    <ignoredError sqref="E29:E31 E33:E35 E18:E24" unlockedFormula="1"/>
    <ignoredError sqref="E32" 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BD11B8D-47FE-4B77-B563-F39545665996}">
          <x14:formula1>
            <xm:f>Dict!$N$10:$N$39</xm:f>
          </x14:formula1>
          <xm:sqref>C6:D6</xm:sqref>
        </x14:dataValidation>
        <x14:dataValidation type="list" allowBlank="1" showInputMessage="1" showErrorMessage="1" xr:uid="{32058EFC-886C-4276-88E9-7FBC7AC33B9B}">
          <x14:formula1>
            <xm:f>Dict!$C$11:$C$12</xm:f>
          </x14:formula1>
          <xm:sqref>C7:D7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51F57-C366-44AB-B7AD-1154696D43DF}">
  <sheetPr codeName="Sheet20"/>
  <dimension ref="B1:I54"/>
  <sheetViews>
    <sheetView showGridLines="0" zoomScale="70" zoomScaleNormal="70" workbookViewId="0">
      <selection activeCell="A3" sqref="A3"/>
    </sheetView>
  </sheetViews>
  <sheetFormatPr defaultColWidth="9.140625" defaultRowHeight="12.75"/>
  <cols>
    <col min="1" max="1" width="10.7109375" style="582" customWidth="1"/>
    <col min="2" max="8" width="23.7109375" style="582" customWidth="1"/>
    <col min="9" max="9" width="73.7109375" style="616" customWidth="1"/>
    <col min="10" max="16384" width="9.140625" style="582"/>
  </cols>
  <sheetData>
    <row r="1" spans="2:9" s="41" customFormat="1" ht="38.1" customHeight="1">
      <c r="F1" s="41" t="s">
        <v>624</v>
      </c>
      <c r="I1" s="93"/>
    </row>
    <row r="4" spans="2:9" ht="20.25">
      <c r="B4" s="41" t="s">
        <v>542</v>
      </c>
      <c r="C4" s="41"/>
      <c r="D4" s="583"/>
      <c r="E4" s="583"/>
      <c r="F4" s="583"/>
      <c r="G4" s="583"/>
      <c r="H4" s="583"/>
      <c r="I4" s="612"/>
    </row>
    <row r="6" spans="2:9">
      <c r="B6" s="743" t="s">
        <v>119</v>
      </c>
      <c r="C6" s="743" t="s">
        <v>496</v>
      </c>
      <c r="D6" s="743" t="s">
        <v>507</v>
      </c>
      <c r="E6" s="743">
        <v>2022</v>
      </c>
      <c r="F6" s="743"/>
      <c r="G6" s="743">
        <v>2023</v>
      </c>
      <c r="H6" s="743"/>
      <c r="I6" s="606"/>
    </row>
    <row r="7" spans="2:9">
      <c r="B7" s="745"/>
      <c r="C7" s="745" t="s">
        <v>496</v>
      </c>
      <c r="D7" s="745" t="s">
        <v>507</v>
      </c>
      <c r="E7" s="532" t="s">
        <v>21</v>
      </c>
      <c r="F7" s="532" t="s">
        <v>508</v>
      </c>
      <c r="G7" s="532" t="s">
        <v>21</v>
      </c>
      <c r="H7" s="532" t="s">
        <v>508</v>
      </c>
      <c r="I7" s="607" t="s">
        <v>122</v>
      </c>
    </row>
    <row r="8" spans="2:9" s="616" customFormat="1" ht="38.25">
      <c r="B8" s="739" t="s">
        <v>79</v>
      </c>
      <c r="C8" s="739" t="s">
        <v>34</v>
      </c>
      <c r="D8" s="614" t="s">
        <v>333</v>
      </c>
      <c r="E8" s="614" t="s">
        <v>544</v>
      </c>
      <c r="F8" s="614" t="s">
        <v>606</v>
      </c>
      <c r="G8" s="614" t="s">
        <v>545</v>
      </c>
      <c r="H8" s="614" t="s">
        <v>606</v>
      </c>
      <c r="I8" s="614" t="s">
        <v>546</v>
      </c>
    </row>
    <row r="9" spans="2:9" s="616" customFormat="1">
      <c r="B9" s="740"/>
      <c r="C9" s="744"/>
      <c r="D9" s="615" t="s">
        <v>509</v>
      </c>
      <c r="E9" s="615" t="s">
        <v>67</v>
      </c>
      <c r="F9" s="615" t="s">
        <v>606</v>
      </c>
      <c r="G9" s="615" t="s">
        <v>67</v>
      </c>
      <c r="H9" s="615" t="s">
        <v>606</v>
      </c>
      <c r="I9" s="615" t="s">
        <v>547</v>
      </c>
    </row>
    <row r="10" spans="2:9" s="616" customFormat="1">
      <c r="B10" s="740"/>
      <c r="C10" s="741"/>
      <c r="D10" s="612" t="s">
        <v>510</v>
      </c>
      <c r="E10" s="612" t="s">
        <v>67</v>
      </c>
      <c r="F10" s="612" t="s">
        <v>606</v>
      </c>
      <c r="G10" s="612" t="s">
        <v>67</v>
      </c>
      <c r="H10" s="612" t="s">
        <v>606</v>
      </c>
      <c r="I10" s="612" t="s">
        <v>547</v>
      </c>
    </row>
    <row r="11" spans="2:9" s="616" customFormat="1" ht="38.25">
      <c r="B11" s="740"/>
      <c r="C11" s="739" t="s">
        <v>499</v>
      </c>
      <c r="D11" s="614" t="s">
        <v>333</v>
      </c>
      <c r="E11" s="614" t="s">
        <v>544</v>
      </c>
      <c r="F11" s="614" t="s">
        <v>606</v>
      </c>
      <c r="G11" s="614" t="s">
        <v>545</v>
      </c>
      <c r="H11" s="614" t="s">
        <v>606</v>
      </c>
      <c r="I11" s="614" t="s">
        <v>546</v>
      </c>
    </row>
    <row r="12" spans="2:9" s="616" customFormat="1">
      <c r="B12" s="740"/>
      <c r="C12" s="744"/>
      <c r="D12" s="615" t="s">
        <v>509</v>
      </c>
      <c r="E12" s="615" t="s">
        <v>67</v>
      </c>
      <c r="F12" s="615" t="s">
        <v>606</v>
      </c>
      <c r="G12" s="615" t="s">
        <v>67</v>
      </c>
      <c r="H12" s="615" t="s">
        <v>606</v>
      </c>
      <c r="I12" s="615" t="s">
        <v>547</v>
      </c>
    </row>
    <row r="13" spans="2:9" s="616" customFormat="1">
      <c r="B13" s="740"/>
      <c r="C13" s="741"/>
      <c r="D13" s="612" t="s">
        <v>510</v>
      </c>
      <c r="E13" s="612" t="s">
        <v>67</v>
      </c>
      <c r="F13" s="612" t="s">
        <v>606</v>
      </c>
      <c r="G13" s="612" t="s">
        <v>547</v>
      </c>
      <c r="H13" s="612" t="s">
        <v>547</v>
      </c>
      <c r="I13" s="612" t="s">
        <v>548</v>
      </c>
    </row>
    <row r="14" spans="2:9" s="616" customFormat="1" ht="38.25">
      <c r="B14" s="740"/>
      <c r="C14" s="739" t="s">
        <v>33</v>
      </c>
      <c r="D14" s="614" t="s">
        <v>333</v>
      </c>
      <c r="E14" s="614" t="s">
        <v>544</v>
      </c>
      <c r="F14" s="614" t="s">
        <v>606</v>
      </c>
      <c r="G14" s="614" t="s">
        <v>545</v>
      </c>
      <c r="H14" s="614" t="s">
        <v>606</v>
      </c>
      <c r="I14" s="614" t="s">
        <v>546</v>
      </c>
    </row>
    <row r="15" spans="2:9" s="616" customFormat="1">
      <c r="B15" s="740"/>
      <c r="C15" s="744"/>
      <c r="D15" s="615" t="s">
        <v>509</v>
      </c>
      <c r="E15" s="615" t="s">
        <v>67</v>
      </c>
      <c r="F15" s="615" t="s">
        <v>606</v>
      </c>
      <c r="G15" s="615" t="s">
        <v>67</v>
      </c>
      <c r="H15" s="615" t="s">
        <v>606</v>
      </c>
      <c r="I15" s="615" t="s">
        <v>547</v>
      </c>
    </row>
    <row r="16" spans="2:9" s="616" customFormat="1">
      <c r="B16" s="740"/>
      <c r="C16" s="741"/>
      <c r="D16" s="612" t="s">
        <v>510</v>
      </c>
      <c r="E16" s="612" t="s">
        <v>67</v>
      </c>
      <c r="F16" s="612" t="s">
        <v>606</v>
      </c>
      <c r="G16" s="612" t="s">
        <v>67</v>
      </c>
      <c r="H16" s="612" t="s">
        <v>606</v>
      </c>
      <c r="I16" s="612" t="s">
        <v>547</v>
      </c>
    </row>
    <row r="17" spans="2:9" s="616" customFormat="1" ht="38.25">
      <c r="B17" s="740"/>
      <c r="C17" s="739" t="s">
        <v>37</v>
      </c>
      <c r="D17" s="614" t="s">
        <v>333</v>
      </c>
      <c r="E17" s="614" t="s">
        <v>544</v>
      </c>
      <c r="F17" s="614" t="s">
        <v>606</v>
      </c>
      <c r="G17" s="614" t="s">
        <v>545</v>
      </c>
      <c r="H17" s="614" t="s">
        <v>606</v>
      </c>
      <c r="I17" s="614" t="s">
        <v>546</v>
      </c>
    </row>
    <row r="18" spans="2:9" s="616" customFormat="1">
      <c r="B18" s="740"/>
      <c r="C18" s="744"/>
      <c r="D18" s="615" t="s">
        <v>509</v>
      </c>
      <c r="E18" s="615" t="s">
        <v>67</v>
      </c>
      <c r="F18" s="615" t="s">
        <v>606</v>
      </c>
      <c r="G18" s="615" t="s">
        <v>67</v>
      </c>
      <c r="H18" s="615" t="s">
        <v>606</v>
      </c>
      <c r="I18" s="615" t="s">
        <v>547</v>
      </c>
    </row>
    <row r="19" spans="2:9" s="616" customFormat="1">
      <c r="B19" s="740"/>
      <c r="C19" s="741"/>
      <c r="D19" s="612" t="s">
        <v>510</v>
      </c>
      <c r="E19" s="612" t="s">
        <v>67</v>
      </c>
      <c r="F19" s="612" t="s">
        <v>606</v>
      </c>
      <c r="G19" s="612" t="s">
        <v>67</v>
      </c>
      <c r="H19" s="612" t="s">
        <v>606</v>
      </c>
      <c r="I19" s="612" t="s">
        <v>547</v>
      </c>
    </row>
    <row r="20" spans="2:9" s="616" customFormat="1" ht="38.25">
      <c r="B20" s="740"/>
      <c r="C20" s="739" t="s">
        <v>35</v>
      </c>
      <c r="D20" s="614" t="s">
        <v>333</v>
      </c>
      <c r="E20" s="614" t="s">
        <v>544</v>
      </c>
      <c r="F20" s="614" t="s">
        <v>606</v>
      </c>
      <c r="G20" s="614" t="s">
        <v>545</v>
      </c>
      <c r="H20" s="614" t="s">
        <v>606</v>
      </c>
      <c r="I20" s="614" t="s">
        <v>546</v>
      </c>
    </row>
    <row r="21" spans="2:9" s="616" customFormat="1">
      <c r="B21" s="740"/>
      <c r="C21" s="744"/>
      <c r="D21" s="615" t="s">
        <v>509</v>
      </c>
      <c r="E21" s="615" t="s">
        <v>67</v>
      </c>
      <c r="F21" s="615" t="s">
        <v>606</v>
      </c>
      <c r="G21" s="615" t="s">
        <v>67</v>
      </c>
      <c r="H21" s="615" t="s">
        <v>606</v>
      </c>
      <c r="I21" s="615" t="s">
        <v>547</v>
      </c>
    </row>
    <row r="22" spans="2:9" s="616" customFormat="1">
      <c r="B22" s="741"/>
      <c r="C22" s="741"/>
      <c r="D22" s="612" t="s">
        <v>510</v>
      </c>
      <c r="E22" s="612" t="s">
        <v>67</v>
      </c>
      <c r="F22" s="612" t="s">
        <v>606</v>
      </c>
      <c r="G22" s="612" t="s">
        <v>67</v>
      </c>
      <c r="H22" s="612" t="s">
        <v>606</v>
      </c>
      <c r="I22" s="612" t="s">
        <v>547</v>
      </c>
    </row>
    <row r="23" spans="2:9" s="616" customFormat="1">
      <c r="B23" s="739" t="s">
        <v>511</v>
      </c>
      <c r="C23" s="642" t="s">
        <v>357</v>
      </c>
      <c r="D23" s="614" t="s">
        <v>512</v>
      </c>
      <c r="E23" s="614" t="s">
        <v>67</v>
      </c>
      <c r="F23" s="614" t="s">
        <v>606</v>
      </c>
      <c r="G23" s="614" t="s">
        <v>67</v>
      </c>
      <c r="H23" s="614" t="s">
        <v>606</v>
      </c>
      <c r="I23" s="614" t="s">
        <v>547</v>
      </c>
    </row>
    <row r="24" spans="2:9" s="616" customFormat="1" ht="25.5">
      <c r="B24" s="740"/>
      <c r="C24" s="643" t="s">
        <v>447</v>
      </c>
      <c r="D24" s="616" t="s">
        <v>513</v>
      </c>
      <c r="E24" s="616" t="s">
        <v>67</v>
      </c>
      <c r="F24" s="616" t="s">
        <v>606</v>
      </c>
      <c r="G24" s="616" t="s">
        <v>67</v>
      </c>
      <c r="H24" s="616" t="s">
        <v>606</v>
      </c>
      <c r="I24" s="616" t="s">
        <v>547</v>
      </c>
    </row>
    <row r="25" spans="2:9" s="616" customFormat="1">
      <c r="B25" s="740"/>
      <c r="C25" s="643" t="s">
        <v>500</v>
      </c>
      <c r="D25" s="616" t="s">
        <v>64</v>
      </c>
      <c r="E25" s="616" t="s">
        <v>67</v>
      </c>
      <c r="F25" s="616" t="s">
        <v>606</v>
      </c>
      <c r="G25" s="616" t="s">
        <v>67</v>
      </c>
      <c r="H25" s="616" t="s">
        <v>606</v>
      </c>
      <c r="I25" s="616" t="s">
        <v>547</v>
      </c>
    </row>
    <row r="26" spans="2:9" s="616" customFormat="1" ht="25.5">
      <c r="B26" s="740"/>
      <c r="C26" s="643" t="s">
        <v>360</v>
      </c>
      <c r="D26" s="616" t="s">
        <v>514</v>
      </c>
      <c r="E26" s="616" t="s">
        <v>67</v>
      </c>
      <c r="F26" s="616" t="s">
        <v>606</v>
      </c>
      <c r="G26" s="616" t="s">
        <v>67</v>
      </c>
      <c r="H26" s="616" t="s">
        <v>606</v>
      </c>
      <c r="I26" s="616" t="s">
        <v>547</v>
      </c>
    </row>
    <row r="27" spans="2:9" s="616" customFormat="1">
      <c r="B27" s="740"/>
      <c r="C27" s="643" t="s">
        <v>501</v>
      </c>
      <c r="D27" s="616" t="s">
        <v>515</v>
      </c>
      <c r="E27" s="616" t="s">
        <v>67</v>
      </c>
      <c r="F27" s="616" t="s">
        <v>606</v>
      </c>
      <c r="G27" s="616" t="s">
        <v>67</v>
      </c>
      <c r="H27" s="616" t="s">
        <v>606</v>
      </c>
      <c r="I27" s="616" t="s">
        <v>547</v>
      </c>
    </row>
    <row r="28" spans="2:9" s="616" customFormat="1">
      <c r="B28" s="740"/>
      <c r="C28" s="643" t="s">
        <v>448</v>
      </c>
      <c r="D28" s="616" t="s">
        <v>516</v>
      </c>
      <c r="E28" s="616" t="s">
        <v>67</v>
      </c>
      <c r="F28" s="616" t="s">
        <v>606</v>
      </c>
      <c r="G28" s="616" t="s">
        <v>67</v>
      </c>
      <c r="H28" s="616" t="s">
        <v>606</v>
      </c>
      <c r="I28" s="616" t="s">
        <v>547</v>
      </c>
    </row>
    <row r="29" spans="2:9" s="616" customFormat="1">
      <c r="B29" s="741"/>
      <c r="C29" s="644" t="s">
        <v>271</v>
      </c>
      <c r="D29" s="612" t="s">
        <v>669</v>
      </c>
      <c r="E29" s="612" t="s">
        <v>67</v>
      </c>
      <c r="F29" s="612" t="s">
        <v>606</v>
      </c>
      <c r="G29" s="612" t="s">
        <v>67</v>
      </c>
      <c r="H29" s="612" t="s">
        <v>606</v>
      </c>
      <c r="I29" s="612" t="s">
        <v>547</v>
      </c>
    </row>
    <row r="30" spans="2:9" s="616" customFormat="1">
      <c r="B30" s="739" t="s">
        <v>449</v>
      </c>
      <c r="C30" s="739" t="s">
        <v>503</v>
      </c>
      <c r="D30" s="614" t="s">
        <v>518</v>
      </c>
      <c r="E30" s="614" t="s">
        <v>67</v>
      </c>
      <c r="F30" s="614" t="s">
        <v>606</v>
      </c>
      <c r="G30" s="614" t="s">
        <v>67</v>
      </c>
      <c r="H30" s="614" t="s">
        <v>606</v>
      </c>
      <c r="I30" s="614" t="s">
        <v>547</v>
      </c>
    </row>
    <row r="31" spans="2:9" s="616" customFormat="1">
      <c r="B31" s="740"/>
      <c r="C31" s="740"/>
      <c r="D31" s="616" t="s">
        <v>400</v>
      </c>
      <c r="E31" s="616" t="s">
        <v>67</v>
      </c>
      <c r="F31" s="616" t="s">
        <v>606</v>
      </c>
      <c r="G31" s="616" t="s">
        <v>67</v>
      </c>
      <c r="H31" s="616" t="s">
        <v>606</v>
      </c>
      <c r="I31" s="616" t="s">
        <v>547</v>
      </c>
    </row>
    <row r="32" spans="2:9" s="616" customFormat="1">
      <c r="B32" s="740"/>
      <c r="C32" s="740"/>
      <c r="D32" s="616" t="s">
        <v>401</v>
      </c>
      <c r="E32" s="616" t="s">
        <v>67</v>
      </c>
      <c r="F32" s="616" t="s">
        <v>606</v>
      </c>
      <c r="G32" s="616" t="s">
        <v>67</v>
      </c>
      <c r="H32" s="616" t="s">
        <v>606</v>
      </c>
      <c r="I32" s="616" t="s">
        <v>547</v>
      </c>
    </row>
    <row r="33" spans="2:9" s="616" customFormat="1">
      <c r="B33" s="740"/>
      <c r="C33" s="740"/>
      <c r="D33" s="616" t="s">
        <v>519</v>
      </c>
      <c r="E33" s="616" t="s">
        <v>67</v>
      </c>
      <c r="F33" s="616" t="s">
        <v>606</v>
      </c>
      <c r="G33" s="616" t="s">
        <v>67</v>
      </c>
      <c r="H33" s="616" t="s">
        <v>606</v>
      </c>
      <c r="I33" s="616" t="s">
        <v>547</v>
      </c>
    </row>
    <row r="34" spans="2:9" s="616" customFormat="1">
      <c r="B34" s="740"/>
      <c r="C34" s="740"/>
      <c r="D34" s="616" t="s">
        <v>520</v>
      </c>
      <c r="E34" s="616" t="s">
        <v>67</v>
      </c>
      <c r="F34" s="616" t="s">
        <v>606</v>
      </c>
      <c r="G34" s="616" t="s">
        <v>67</v>
      </c>
      <c r="H34" s="616" t="s">
        <v>606</v>
      </c>
      <c r="I34" s="616" t="s">
        <v>547</v>
      </c>
    </row>
    <row r="35" spans="2:9" s="616" customFormat="1" ht="25.5">
      <c r="B35" s="741"/>
      <c r="C35" s="644" t="s">
        <v>168</v>
      </c>
      <c r="D35" s="612" t="s">
        <v>168</v>
      </c>
      <c r="E35" s="612" t="s">
        <v>67</v>
      </c>
      <c r="F35" s="612" t="s">
        <v>606</v>
      </c>
      <c r="G35" s="612" t="s">
        <v>67</v>
      </c>
      <c r="H35" s="612" t="s">
        <v>606</v>
      </c>
      <c r="I35" s="612" t="s">
        <v>549</v>
      </c>
    </row>
    <row r="36" spans="2:9" s="616" customFormat="1" ht="51">
      <c r="B36" s="739" t="s">
        <v>406</v>
      </c>
      <c r="C36" s="739" t="s">
        <v>521</v>
      </c>
      <c r="D36" s="614" t="s">
        <v>522</v>
      </c>
      <c r="E36" s="608" t="s">
        <v>550</v>
      </c>
      <c r="F36" s="614" t="s">
        <v>606</v>
      </c>
      <c r="G36" s="608" t="s">
        <v>551</v>
      </c>
      <c r="H36" s="614" t="s">
        <v>606</v>
      </c>
      <c r="I36" s="608" t="s">
        <v>552</v>
      </c>
    </row>
    <row r="37" spans="2:9" s="616" customFormat="1" ht="51">
      <c r="B37" s="740"/>
      <c r="C37" s="744"/>
      <c r="D37" s="615" t="s">
        <v>523</v>
      </c>
      <c r="E37" s="609" t="s">
        <v>553</v>
      </c>
      <c r="F37" s="615" t="s">
        <v>607</v>
      </c>
      <c r="G37" s="609" t="s">
        <v>553</v>
      </c>
      <c r="H37" s="615" t="s">
        <v>607</v>
      </c>
      <c r="I37" s="609" t="s">
        <v>554</v>
      </c>
    </row>
    <row r="38" spans="2:9" s="616" customFormat="1">
      <c r="B38" s="740"/>
      <c r="C38" s="744"/>
      <c r="D38" s="615" t="s">
        <v>524</v>
      </c>
      <c r="E38" s="615" t="s">
        <v>67</v>
      </c>
      <c r="F38" s="615" t="s">
        <v>607</v>
      </c>
      <c r="G38" s="615" t="s">
        <v>67</v>
      </c>
      <c r="H38" s="615" t="s">
        <v>607</v>
      </c>
      <c r="I38" s="615" t="s">
        <v>547</v>
      </c>
    </row>
    <row r="39" spans="2:9" s="616" customFormat="1" ht="25.5">
      <c r="B39" s="740"/>
      <c r="C39" s="744"/>
      <c r="D39" s="615" t="s">
        <v>525</v>
      </c>
      <c r="E39" s="615" t="s">
        <v>555</v>
      </c>
      <c r="F39" s="615" t="s">
        <v>606</v>
      </c>
      <c r="G39" s="615" t="s">
        <v>555</v>
      </c>
      <c r="H39" s="615" t="s">
        <v>606</v>
      </c>
      <c r="I39" s="615" t="s">
        <v>556</v>
      </c>
    </row>
    <row r="40" spans="2:9" s="616" customFormat="1" ht="25.5">
      <c r="B40" s="740"/>
      <c r="C40" s="744"/>
      <c r="D40" s="615" t="s">
        <v>267</v>
      </c>
      <c r="E40" s="615" t="s">
        <v>555</v>
      </c>
      <c r="F40" s="615" t="s">
        <v>606</v>
      </c>
      <c r="G40" s="615" t="s">
        <v>555</v>
      </c>
      <c r="H40" s="615" t="s">
        <v>606</v>
      </c>
      <c r="I40" s="615" t="s">
        <v>556</v>
      </c>
    </row>
    <row r="41" spans="2:9" s="616" customFormat="1">
      <c r="B41" s="740"/>
      <c r="C41" s="741"/>
      <c r="D41" s="612" t="s">
        <v>526</v>
      </c>
      <c r="E41" s="612" t="s">
        <v>67</v>
      </c>
      <c r="F41" s="612" t="s">
        <v>606</v>
      </c>
      <c r="G41" s="612" t="s">
        <v>67</v>
      </c>
      <c r="H41" s="612" t="s">
        <v>606</v>
      </c>
      <c r="I41" s="612" t="s">
        <v>547</v>
      </c>
    </row>
    <row r="42" spans="2:9" s="616" customFormat="1">
      <c r="B42" s="740"/>
      <c r="C42" s="739" t="s">
        <v>409</v>
      </c>
      <c r="D42" s="614" t="s">
        <v>527</v>
      </c>
      <c r="E42" s="614" t="s">
        <v>557</v>
      </c>
      <c r="F42" s="614" t="s">
        <v>606</v>
      </c>
      <c r="G42" s="614" t="s">
        <v>557</v>
      </c>
      <c r="H42" s="614" t="s">
        <v>606</v>
      </c>
      <c r="I42" s="614" t="s">
        <v>558</v>
      </c>
    </row>
    <row r="43" spans="2:9" s="616" customFormat="1" ht="38.25">
      <c r="B43" s="740"/>
      <c r="C43" s="741"/>
      <c r="D43" s="612" t="s">
        <v>528</v>
      </c>
      <c r="E43" s="612" t="s">
        <v>559</v>
      </c>
      <c r="F43" s="612" t="s">
        <v>607</v>
      </c>
      <c r="G43" s="612" t="s">
        <v>559</v>
      </c>
      <c r="H43" s="612" t="s">
        <v>606</v>
      </c>
      <c r="I43" s="612" t="s">
        <v>560</v>
      </c>
    </row>
    <row r="44" spans="2:9" s="616" customFormat="1" ht="25.5">
      <c r="B44" s="740"/>
      <c r="C44" s="740" t="s">
        <v>410</v>
      </c>
      <c r="D44" s="616" t="s">
        <v>529</v>
      </c>
      <c r="E44" s="610" t="s">
        <v>483</v>
      </c>
      <c r="F44" s="616" t="s">
        <v>606</v>
      </c>
      <c r="G44" s="610" t="s">
        <v>483</v>
      </c>
      <c r="H44" s="616" t="s">
        <v>606</v>
      </c>
      <c r="I44" s="610" t="s">
        <v>561</v>
      </c>
    </row>
    <row r="45" spans="2:9" s="616" customFormat="1" ht="25.5">
      <c r="B45" s="741"/>
      <c r="C45" s="741"/>
      <c r="D45" s="612" t="s">
        <v>530</v>
      </c>
      <c r="E45" s="611" t="s">
        <v>483</v>
      </c>
      <c r="F45" s="612" t="s">
        <v>606</v>
      </c>
      <c r="G45" s="611" t="s">
        <v>483</v>
      </c>
      <c r="H45" s="612" t="s">
        <v>606</v>
      </c>
      <c r="I45" s="611" t="s">
        <v>561</v>
      </c>
    </row>
    <row r="46" spans="2:9" s="616" customFormat="1" ht="51">
      <c r="B46" s="739" t="s">
        <v>325</v>
      </c>
      <c r="C46" s="739" t="s">
        <v>424</v>
      </c>
      <c r="D46" s="614" t="s">
        <v>531</v>
      </c>
      <c r="E46" s="614" t="s">
        <v>562</v>
      </c>
      <c r="F46" s="614" t="s">
        <v>606</v>
      </c>
      <c r="G46" s="614" t="s">
        <v>562</v>
      </c>
      <c r="H46" s="614" t="s">
        <v>606</v>
      </c>
      <c r="I46" s="614" t="s">
        <v>563</v>
      </c>
    </row>
    <row r="47" spans="2:9" s="616" customFormat="1">
      <c r="B47" s="740"/>
      <c r="C47" s="744"/>
      <c r="D47" s="615" t="s">
        <v>484</v>
      </c>
      <c r="E47" s="615" t="s">
        <v>564</v>
      </c>
      <c r="F47" s="615" t="s">
        <v>606</v>
      </c>
      <c r="G47" s="615" t="s">
        <v>564</v>
      </c>
      <c r="H47" s="615" t="s">
        <v>606</v>
      </c>
      <c r="I47" s="615" t="s">
        <v>565</v>
      </c>
    </row>
    <row r="48" spans="2:9" s="616" customFormat="1" ht="51">
      <c r="B48" s="740"/>
      <c r="C48" s="744"/>
      <c r="D48" s="615" t="s">
        <v>485</v>
      </c>
      <c r="E48" s="615" t="s">
        <v>566</v>
      </c>
      <c r="F48" s="615" t="s">
        <v>607</v>
      </c>
      <c r="G48" s="615" t="s">
        <v>567</v>
      </c>
      <c r="H48" s="615" t="s">
        <v>606</v>
      </c>
      <c r="I48" s="609" t="s">
        <v>568</v>
      </c>
    </row>
    <row r="49" spans="2:9" s="616" customFormat="1">
      <c r="B49" s="740"/>
      <c r="C49" s="741"/>
      <c r="D49" s="612" t="s">
        <v>532</v>
      </c>
      <c r="E49" s="612" t="s">
        <v>547</v>
      </c>
      <c r="F49" s="612" t="s">
        <v>547</v>
      </c>
      <c r="G49" s="612" t="s">
        <v>67</v>
      </c>
      <c r="H49" s="612" t="s">
        <v>606</v>
      </c>
      <c r="I49" s="612" t="s">
        <v>569</v>
      </c>
    </row>
    <row r="50" spans="2:9" s="616" customFormat="1" ht="25.5">
      <c r="B50" s="740"/>
      <c r="C50" s="739" t="s">
        <v>121</v>
      </c>
      <c r="D50" s="614" t="s">
        <v>533</v>
      </c>
      <c r="E50" s="614" t="s">
        <v>67</v>
      </c>
      <c r="F50" s="614" t="s">
        <v>607</v>
      </c>
      <c r="G50" s="614" t="s">
        <v>67</v>
      </c>
      <c r="H50" s="614" t="s">
        <v>607</v>
      </c>
      <c r="I50" s="614" t="s">
        <v>547</v>
      </c>
    </row>
    <row r="51" spans="2:9" s="616" customFormat="1" ht="25.5">
      <c r="B51" s="740"/>
      <c r="C51" s="741"/>
      <c r="D51" s="612" t="s">
        <v>121</v>
      </c>
      <c r="E51" s="612" t="s">
        <v>570</v>
      </c>
      <c r="F51" s="612" t="s">
        <v>606</v>
      </c>
      <c r="G51" s="612" t="s">
        <v>570</v>
      </c>
      <c r="H51" s="612" t="s">
        <v>606</v>
      </c>
      <c r="I51" s="612" t="s">
        <v>571</v>
      </c>
    </row>
    <row r="52" spans="2:9" s="616" customFormat="1" ht="63.75">
      <c r="B52" s="740"/>
      <c r="C52" s="740" t="s">
        <v>117</v>
      </c>
      <c r="D52" s="616" t="s">
        <v>534</v>
      </c>
      <c r="E52" s="616" t="s">
        <v>570</v>
      </c>
      <c r="F52" s="616" t="s">
        <v>606</v>
      </c>
      <c r="G52" s="616" t="s">
        <v>570</v>
      </c>
      <c r="H52" s="616" t="s">
        <v>606</v>
      </c>
      <c r="I52" s="616" t="s">
        <v>572</v>
      </c>
    </row>
    <row r="53" spans="2:9" s="616" customFormat="1" ht="25.5">
      <c r="B53" s="740"/>
      <c r="C53" s="740"/>
      <c r="D53" s="616" t="s">
        <v>535</v>
      </c>
      <c r="E53" s="616" t="s">
        <v>570</v>
      </c>
      <c r="F53" s="616" t="s">
        <v>606</v>
      </c>
      <c r="G53" s="616" t="s">
        <v>570</v>
      </c>
      <c r="H53" s="616" t="s">
        <v>606</v>
      </c>
      <c r="I53" s="616" t="s">
        <v>571</v>
      </c>
    </row>
    <row r="54" spans="2:9" s="616" customFormat="1" ht="25.5">
      <c r="B54" s="741"/>
      <c r="C54" s="741"/>
      <c r="D54" s="612" t="s">
        <v>536</v>
      </c>
      <c r="E54" s="612" t="s">
        <v>570</v>
      </c>
      <c r="F54" s="612" t="s">
        <v>606</v>
      </c>
      <c r="G54" s="612" t="s">
        <v>570</v>
      </c>
      <c r="H54" s="612" t="s">
        <v>606</v>
      </c>
      <c r="I54" s="612" t="s">
        <v>573</v>
      </c>
    </row>
  </sheetData>
  <sheetProtection algorithmName="SHA-512" hashValue="IOyYGvBX6QMd0xp91Qvbw84m7pgYuAZnVTiaLnQ46fuDbbl9ilG909aWIVEeUf+HVd36R+EfPJRyvl4PnkL4yw==" saltValue="SNpgvu8QdR2ywa7SmDRAhQ==" spinCount="100000" sheet="1" objects="1" scenarios="1" formatCells="0"/>
  <mergeCells count="22">
    <mergeCell ref="C20:C22"/>
    <mergeCell ref="B6:B7"/>
    <mergeCell ref="C6:C7"/>
    <mergeCell ref="D6:D7"/>
    <mergeCell ref="E6:F6"/>
    <mergeCell ref="C17:C19"/>
    <mergeCell ref="G6:H6"/>
    <mergeCell ref="B8:B22"/>
    <mergeCell ref="B46:B54"/>
    <mergeCell ref="C46:C49"/>
    <mergeCell ref="C50:C51"/>
    <mergeCell ref="C52:C54"/>
    <mergeCell ref="B23:B29"/>
    <mergeCell ref="B30:B35"/>
    <mergeCell ref="C30:C34"/>
    <mergeCell ref="B36:B45"/>
    <mergeCell ref="C36:C41"/>
    <mergeCell ref="C42:C43"/>
    <mergeCell ref="C44:C45"/>
    <mergeCell ref="C8:C10"/>
    <mergeCell ref="C11:C13"/>
    <mergeCell ref="C14:C16"/>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usageTracker"/>
  <dimension ref="B1:F392"/>
  <sheetViews>
    <sheetView showGridLines="0" workbookViewId="0">
      <selection activeCell="D2" sqref="D2"/>
    </sheetView>
  </sheetViews>
  <sheetFormatPr defaultColWidth="9.140625" defaultRowHeight="12.75"/>
  <cols>
    <col min="1" max="1" width="4.28515625" style="278" customWidth="1"/>
    <col min="2" max="2" width="29.7109375" style="279" customWidth="1"/>
    <col min="3" max="3" width="19.28515625" style="279" customWidth="1"/>
    <col min="4" max="4" width="60.28515625" style="279" customWidth="1"/>
    <col min="5" max="5" width="3.5703125" style="278" customWidth="1"/>
    <col min="6" max="6" width="112.5703125" style="278" customWidth="1"/>
    <col min="7" max="16384" width="9.140625" style="278"/>
  </cols>
  <sheetData>
    <row r="1" spans="2:6" ht="13.5" thickBot="1"/>
    <row r="2" spans="2:6" ht="20.25">
      <c r="B2" s="24" t="s">
        <v>322</v>
      </c>
      <c r="C2" s="24"/>
      <c r="D2" s="24"/>
      <c r="F2" s="296" t="s">
        <v>321</v>
      </c>
    </row>
    <row r="3" spans="2:6" ht="14.25">
      <c r="B3" s="295"/>
      <c r="C3" s="295"/>
      <c r="D3" s="295"/>
      <c r="F3" s="286" t="s">
        <v>320</v>
      </c>
    </row>
    <row r="4" spans="2:6" ht="15.75" customHeight="1">
      <c r="B4" s="292" t="s">
        <v>319</v>
      </c>
      <c r="C4" s="293">
        <v>24191</v>
      </c>
      <c r="D4" s="294" t="s">
        <v>318</v>
      </c>
      <c r="F4" s="287" t="s">
        <v>317</v>
      </c>
    </row>
    <row r="5" spans="2:6" ht="14.25">
      <c r="B5" s="292" t="s">
        <v>316</v>
      </c>
      <c r="C5" s="293" t="s">
        <v>625</v>
      </c>
      <c r="D5" s="280" t="s">
        <v>315</v>
      </c>
      <c r="F5" s="286" t="s">
        <v>314</v>
      </c>
    </row>
    <row r="6" spans="2:6" ht="14.25">
      <c r="B6" s="292" t="s">
        <v>313</v>
      </c>
      <c r="C6" s="280">
        <v>204</v>
      </c>
      <c r="D6" s="280" t="s">
        <v>490</v>
      </c>
      <c r="F6" s="286" t="s">
        <v>312</v>
      </c>
    </row>
    <row r="7" spans="2:6">
      <c r="B7" s="292" t="s">
        <v>311</v>
      </c>
      <c r="C7" s="281">
        <v>45370.593773148146</v>
      </c>
      <c r="D7" s="281"/>
      <c r="F7" s="287" t="s">
        <v>310</v>
      </c>
    </row>
    <row r="8" spans="2:6" ht="14.25">
      <c r="B8" s="292" t="s">
        <v>309</v>
      </c>
      <c r="C8" s="280">
        <v>0</v>
      </c>
      <c r="D8" s="280"/>
      <c r="F8" s="286" t="s">
        <v>308</v>
      </c>
    </row>
    <row r="9" spans="2:6" ht="20.25">
      <c r="B9" s="291" t="s">
        <v>307</v>
      </c>
      <c r="C9" s="290" t="s">
        <v>306</v>
      </c>
      <c r="D9" s="289">
        <f>COUNTA(B10:B392)</f>
        <v>152</v>
      </c>
      <c r="F9" s="286" t="s">
        <v>305</v>
      </c>
    </row>
    <row r="10" spans="2:6" ht="14.25">
      <c r="B10" s="281">
        <v>45345.67386574074</v>
      </c>
      <c r="C10" s="280" t="s">
        <v>323</v>
      </c>
      <c r="D10" s="280"/>
      <c r="F10" s="286" t="s">
        <v>304</v>
      </c>
    </row>
    <row r="11" spans="2:6" ht="14.25">
      <c r="B11" s="281">
        <v>45345.67386574074</v>
      </c>
      <c r="C11" s="280" t="s">
        <v>296</v>
      </c>
      <c r="D11" s="280"/>
      <c r="F11" s="286" t="s">
        <v>303</v>
      </c>
    </row>
    <row r="12" spans="2:6" ht="15">
      <c r="B12" s="281">
        <v>45345.67386574074</v>
      </c>
      <c r="C12" s="280" t="s">
        <v>437</v>
      </c>
      <c r="D12" s="280"/>
      <c r="F12" s="286" t="s">
        <v>302</v>
      </c>
    </row>
    <row r="13" spans="2:6" ht="14.25">
      <c r="B13" s="281">
        <v>45345.67386574074</v>
      </c>
      <c r="C13" s="280" t="s">
        <v>293</v>
      </c>
      <c r="D13" s="280"/>
      <c r="F13" s="286" t="s">
        <v>301</v>
      </c>
    </row>
    <row r="14" spans="2:6" ht="14.25">
      <c r="B14" s="281">
        <v>45345.67386574074</v>
      </c>
      <c r="C14" s="280" t="s">
        <v>626</v>
      </c>
      <c r="D14" s="280"/>
      <c r="F14" s="286" t="s">
        <v>300</v>
      </c>
    </row>
    <row r="15" spans="2:6">
      <c r="B15" s="281">
        <v>45345.673888888887</v>
      </c>
      <c r="C15" s="280" t="s">
        <v>290</v>
      </c>
      <c r="D15" s="280"/>
      <c r="F15" s="287" t="s">
        <v>299</v>
      </c>
    </row>
    <row r="16" spans="2:6" ht="19.5" customHeight="1">
      <c r="B16" s="281">
        <v>45345.673888888887</v>
      </c>
      <c r="C16" s="280" t="s">
        <v>627</v>
      </c>
      <c r="D16" s="280"/>
      <c r="F16" s="286" t="s">
        <v>297</v>
      </c>
    </row>
    <row r="17" spans="2:6" ht="15">
      <c r="B17" s="281">
        <v>45345.673888888887</v>
      </c>
      <c r="C17" s="280" t="s">
        <v>298</v>
      </c>
      <c r="D17" s="280"/>
      <c r="F17" s="288" t="s">
        <v>295</v>
      </c>
    </row>
    <row r="18" spans="2:6">
      <c r="B18" s="281">
        <v>45349.406828703701</v>
      </c>
      <c r="C18" s="280" t="s">
        <v>323</v>
      </c>
      <c r="D18" s="280"/>
      <c r="F18" s="287" t="s">
        <v>294</v>
      </c>
    </row>
    <row r="19" spans="2:6">
      <c r="B19" s="281">
        <v>45349.406828703701</v>
      </c>
      <c r="C19" s="280" t="s">
        <v>296</v>
      </c>
      <c r="D19" s="280"/>
      <c r="F19" s="287" t="s">
        <v>292</v>
      </c>
    </row>
    <row r="20" spans="2:6">
      <c r="B20" s="281">
        <v>45349.406828703701</v>
      </c>
      <c r="C20" s="280" t="s">
        <v>437</v>
      </c>
      <c r="D20" s="280"/>
      <c r="F20" s="287" t="s">
        <v>291</v>
      </c>
    </row>
    <row r="21" spans="2:6" ht="14.25">
      <c r="B21" s="281">
        <v>45349.406828703701</v>
      </c>
      <c r="C21" s="280" t="s">
        <v>293</v>
      </c>
      <c r="D21" s="280"/>
      <c r="F21" s="286" t="s">
        <v>289</v>
      </c>
    </row>
    <row r="22" spans="2:6" ht="14.25">
      <c r="B22" s="281">
        <v>45349.406828703701</v>
      </c>
      <c r="C22" s="280" t="s">
        <v>626</v>
      </c>
      <c r="D22" s="280"/>
      <c r="F22" s="286" t="s">
        <v>288</v>
      </c>
    </row>
    <row r="23" spans="2:6" ht="14.25">
      <c r="B23" s="281">
        <v>45349.406851851854</v>
      </c>
      <c r="C23" s="280" t="s">
        <v>290</v>
      </c>
      <c r="D23" s="280"/>
      <c r="F23" s="285" t="s">
        <v>287</v>
      </c>
    </row>
    <row r="24" spans="2:6" ht="14.25">
      <c r="B24" s="281">
        <v>45349.406851851854</v>
      </c>
      <c r="C24" s="280" t="s">
        <v>627</v>
      </c>
      <c r="D24" s="280"/>
      <c r="F24" s="284" t="s">
        <v>286</v>
      </c>
    </row>
    <row r="25" spans="2:6" ht="14.25">
      <c r="B25" s="281">
        <v>45349.406851851854</v>
      </c>
      <c r="C25" s="280" t="s">
        <v>298</v>
      </c>
      <c r="D25" s="280"/>
      <c r="F25" s="285" t="s">
        <v>285</v>
      </c>
    </row>
    <row r="26" spans="2:6" ht="14.25">
      <c r="B26" s="281">
        <v>45349.431516203702</v>
      </c>
      <c r="C26" s="280" t="s">
        <v>629</v>
      </c>
      <c r="D26" s="280"/>
      <c r="F26" s="284" t="s">
        <v>284</v>
      </c>
    </row>
    <row r="27" spans="2:6" ht="14.25">
      <c r="B27" s="281">
        <v>45349.431516203702</v>
      </c>
      <c r="C27" s="280" t="s">
        <v>296</v>
      </c>
      <c r="D27" s="280"/>
      <c r="F27" s="284" t="s">
        <v>283</v>
      </c>
    </row>
    <row r="28" spans="2:6" ht="15">
      <c r="B28" s="281">
        <v>45349.431516203702</v>
      </c>
      <c r="C28" s="280" t="s">
        <v>437</v>
      </c>
      <c r="D28" s="280"/>
      <c r="F28" s="283" t="s">
        <v>282</v>
      </c>
    </row>
    <row r="29" spans="2:6" ht="13.5" thickBot="1">
      <c r="B29" s="281">
        <v>45349.431516203702</v>
      </c>
      <c r="C29" s="280" t="s">
        <v>293</v>
      </c>
      <c r="D29" s="280"/>
      <c r="F29" s="282" t="s">
        <v>281</v>
      </c>
    </row>
    <row r="30" spans="2:6">
      <c r="B30" s="281">
        <v>45349.431516203702</v>
      </c>
      <c r="C30" s="280" t="s">
        <v>630</v>
      </c>
      <c r="D30" s="280"/>
    </row>
    <row r="31" spans="2:6">
      <c r="B31" s="281">
        <v>45349.431539351855</v>
      </c>
      <c r="C31" s="280" t="s">
        <v>290</v>
      </c>
      <c r="D31" s="280"/>
    </row>
    <row r="32" spans="2:6">
      <c r="B32" s="281">
        <v>45349.431539351855</v>
      </c>
      <c r="C32" s="280" t="s">
        <v>627</v>
      </c>
      <c r="D32" s="280"/>
    </row>
    <row r="33" spans="2:4">
      <c r="B33" s="281">
        <v>45349.431539351855</v>
      </c>
      <c r="C33" s="280" t="s">
        <v>298</v>
      </c>
      <c r="D33" s="280"/>
    </row>
    <row r="34" spans="2:4">
      <c r="B34" s="281">
        <v>45349.433263888888</v>
      </c>
      <c r="C34" s="280" t="s">
        <v>629</v>
      </c>
      <c r="D34" s="280"/>
    </row>
    <row r="35" spans="2:4">
      <c r="B35" s="281">
        <v>45349.433263888888</v>
      </c>
      <c r="C35" s="280" t="s">
        <v>296</v>
      </c>
      <c r="D35" s="280"/>
    </row>
    <row r="36" spans="2:4">
      <c r="B36" s="281">
        <v>45349.433263888888</v>
      </c>
      <c r="C36" s="280" t="s">
        <v>437</v>
      </c>
      <c r="D36" s="280"/>
    </row>
    <row r="37" spans="2:4">
      <c r="B37" s="281">
        <v>45349.433263888888</v>
      </c>
      <c r="C37" s="280" t="s">
        <v>293</v>
      </c>
      <c r="D37" s="280"/>
    </row>
    <row r="38" spans="2:4">
      <c r="B38" s="281">
        <v>45349.433263888888</v>
      </c>
      <c r="C38" s="280" t="s">
        <v>630</v>
      </c>
      <c r="D38" s="280"/>
    </row>
    <row r="39" spans="2:4">
      <c r="B39" s="281">
        <v>45349.433275462965</v>
      </c>
      <c r="C39" s="280" t="s">
        <v>290</v>
      </c>
      <c r="D39" s="280"/>
    </row>
    <row r="40" spans="2:4">
      <c r="B40" s="281">
        <v>45349.433275462965</v>
      </c>
      <c r="C40" s="280" t="s">
        <v>634</v>
      </c>
      <c r="D40" s="280"/>
    </row>
    <row r="41" spans="2:4">
      <c r="B41" s="281">
        <v>45349.433275462965</v>
      </c>
      <c r="C41" s="280" t="s">
        <v>635</v>
      </c>
      <c r="D41" s="280"/>
    </row>
    <row r="42" spans="2:4">
      <c r="B42" s="281">
        <v>45349.433437500003</v>
      </c>
      <c r="C42" s="280" t="s">
        <v>629</v>
      </c>
      <c r="D42" s="280"/>
    </row>
    <row r="43" spans="2:4">
      <c r="B43" s="281">
        <v>45349.433437500003</v>
      </c>
      <c r="C43" s="280" t="s">
        <v>296</v>
      </c>
      <c r="D43" s="280"/>
    </row>
    <row r="44" spans="2:4">
      <c r="B44" s="281">
        <v>45349.433449074073</v>
      </c>
      <c r="C44" s="280" t="s">
        <v>437</v>
      </c>
      <c r="D44" s="280"/>
    </row>
    <row r="45" spans="2:4">
      <c r="B45" s="281">
        <v>45349.433449074073</v>
      </c>
      <c r="C45" s="280" t="s">
        <v>293</v>
      </c>
      <c r="D45" s="280"/>
    </row>
    <row r="46" spans="2:4">
      <c r="B46" s="281">
        <v>45349.433449074073</v>
      </c>
      <c r="C46" s="280" t="s">
        <v>630</v>
      </c>
      <c r="D46" s="280"/>
    </row>
    <row r="47" spans="2:4">
      <c r="B47" s="281">
        <v>45349.433449074073</v>
      </c>
      <c r="C47" s="280" t="s">
        <v>290</v>
      </c>
      <c r="D47" s="280"/>
    </row>
    <row r="48" spans="2:4">
      <c r="B48" s="281">
        <v>45349.433449074073</v>
      </c>
      <c r="C48" s="280" t="s">
        <v>627</v>
      </c>
      <c r="D48" s="280"/>
    </row>
    <row r="49" spans="2:4">
      <c r="B49" s="281">
        <v>45349.433449074073</v>
      </c>
      <c r="C49" s="280" t="s">
        <v>298</v>
      </c>
      <c r="D49" s="280"/>
    </row>
    <row r="50" spans="2:4">
      <c r="B50" s="281">
        <v>45355.868900462963</v>
      </c>
      <c r="C50" s="280" t="s">
        <v>629</v>
      </c>
      <c r="D50" s="280"/>
    </row>
    <row r="51" spans="2:4">
      <c r="B51" s="281">
        <v>45355.868900462963</v>
      </c>
      <c r="C51" s="280" t="s">
        <v>296</v>
      </c>
      <c r="D51" s="280"/>
    </row>
    <row r="52" spans="2:4">
      <c r="B52" s="281">
        <v>45355.868900462963</v>
      </c>
      <c r="C52" s="280" t="s">
        <v>437</v>
      </c>
      <c r="D52" s="280"/>
    </row>
    <row r="53" spans="2:4">
      <c r="B53" s="281">
        <v>45355.868900462963</v>
      </c>
      <c r="C53" s="280" t="s">
        <v>293</v>
      </c>
      <c r="D53" s="280"/>
    </row>
    <row r="54" spans="2:4">
      <c r="B54" s="281">
        <v>45355.868900462963</v>
      </c>
      <c r="C54" s="280" t="s">
        <v>630</v>
      </c>
      <c r="D54" s="280"/>
    </row>
    <row r="55" spans="2:4">
      <c r="B55" s="281">
        <v>45355.86891203704</v>
      </c>
      <c r="C55" s="280" t="s">
        <v>290</v>
      </c>
      <c r="D55" s="280"/>
    </row>
    <row r="56" spans="2:4">
      <c r="B56" s="281">
        <v>45355.86891203704</v>
      </c>
      <c r="C56" s="280" t="s">
        <v>634</v>
      </c>
      <c r="D56" s="280"/>
    </row>
    <row r="57" spans="2:4">
      <c r="B57" s="281">
        <v>45355.86891203704</v>
      </c>
      <c r="C57" s="280" t="s">
        <v>635</v>
      </c>
      <c r="D57" s="280"/>
    </row>
    <row r="58" spans="2:4">
      <c r="B58" s="281">
        <v>45359.5078587963</v>
      </c>
      <c r="C58" s="280" t="s">
        <v>629</v>
      </c>
      <c r="D58" s="280"/>
    </row>
    <row r="59" spans="2:4">
      <c r="B59" s="281">
        <v>45359.5078587963</v>
      </c>
      <c r="C59" s="280" t="s">
        <v>296</v>
      </c>
      <c r="D59" s="280"/>
    </row>
    <row r="60" spans="2:4">
      <c r="B60" s="281">
        <v>45359.5078587963</v>
      </c>
      <c r="C60" s="280" t="s">
        <v>437</v>
      </c>
      <c r="D60" s="280"/>
    </row>
    <row r="61" spans="2:4">
      <c r="B61" s="281">
        <v>45359.5078587963</v>
      </c>
      <c r="C61" s="280" t="s">
        <v>293</v>
      </c>
      <c r="D61" s="280"/>
    </row>
    <row r="62" spans="2:4">
      <c r="B62" s="281">
        <v>45359.5078587963</v>
      </c>
      <c r="C62" s="280" t="s">
        <v>630</v>
      </c>
      <c r="D62" s="280"/>
    </row>
    <row r="63" spans="2:4">
      <c r="B63" s="281">
        <v>45359.507870370369</v>
      </c>
      <c r="C63" s="280" t="s">
        <v>290</v>
      </c>
      <c r="D63" s="280"/>
    </row>
    <row r="64" spans="2:4">
      <c r="B64" s="281">
        <v>45359.507870370369</v>
      </c>
      <c r="C64" s="280" t="s">
        <v>627</v>
      </c>
      <c r="D64" s="280"/>
    </row>
    <row r="65" spans="2:4">
      <c r="B65" s="281">
        <v>45359.507870370369</v>
      </c>
      <c r="C65" s="280" t="s">
        <v>298</v>
      </c>
      <c r="D65" s="280"/>
    </row>
    <row r="66" spans="2:4">
      <c r="B66" s="281">
        <v>45362.696932870371</v>
      </c>
      <c r="C66" s="280" t="s">
        <v>629</v>
      </c>
      <c r="D66" s="280"/>
    </row>
    <row r="67" spans="2:4">
      <c r="B67" s="281">
        <v>45362.696932870371</v>
      </c>
      <c r="C67" s="280" t="s">
        <v>296</v>
      </c>
      <c r="D67" s="280"/>
    </row>
    <row r="68" spans="2:4">
      <c r="B68" s="281">
        <v>45362.696932870371</v>
      </c>
      <c r="C68" s="280" t="s">
        <v>437</v>
      </c>
      <c r="D68" s="280"/>
    </row>
    <row r="69" spans="2:4">
      <c r="B69" s="281">
        <v>45362.696932870371</v>
      </c>
      <c r="C69" s="280" t="s">
        <v>293</v>
      </c>
      <c r="D69" s="280"/>
    </row>
    <row r="70" spans="2:4">
      <c r="B70" s="281">
        <v>45362.696932870371</v>
      </c>
      <c r="C70" s="280" t="s">
        <v>630</v>
      </c>
      <c r="D70" s="280"/>
    </row>
    <row r="71" spans="2:4">
      <c r="B71" s="281">
        <v>45362.696944444448</v>
      </c>
      <c r="C71" s="280" t="s">
        <v>290</v>
      </c>
      <c r="D71" s="280"/>
    </row>
    <row r="72" spans="2:4">
      <c r="B72" s="281">
        <v>45362.696944444448</v>
      </c>
      <c r="C72" s="280" t="s">
        <v>634</v>
      </c>
      <c r="D72" s="280"/>
    </row>
    <row r="73" spans="2:4">
      <c r="B73" s="281">
        <v>45362.696944444448</v>
      </c>
      <c r="C73" s="280" t="s">
        <v>635</v>
      </c>
      <c r="D73" s="280"/>
    </row>
    <row r="74" spans="2:4">
      <c r="B74" s="281">
        <v>45363.747418981482</v>
      </c>
      <c r="C74" s="280" t="s">
        <v>323</v>
      </c>
      <c r="D74" s="280"/>
    </row>
    <row r="75" spans="2:4">
      <c r="B75" s="281">
        <v>45363.747418981482</v>
      </c>
      <c r="C75" s="280" t="s">
        <v>296</v>
      </c>
      <c r="D75" s="280"/>
    </row>
    <row r="76" spans="2:4">
      <c r="B76" s="281">
        <v>45363.747418981482</v>
      </c>
      <c r="C76" s="280" t="s">
        <v>437</v>
      </c>
      <c r="D76" s="280"/>
    </row>
    <row r="77" spans="2:4">
      <c r="B77" s="281">
        <v>45363.747418981482</v>
      </c>
      <c r="C77" s="280" t="s">
        <v>293</v>
      </c>
      <c r="D77" s="280"/>
    </row>
    <row r="78" spans="2:4">
      <c r="B78" s="281">
        <v>45363.747418981482</v>
      </c>
      <c r="C78" s="280" t="s">
        <v>626</v>
      </c>
      <c r="D78" s="280"/>
    </row>
    <row r="79" spans="2:4">
      <c r="B79" s="281">
        <v>45363.747430555559</v>
      </c>
      <c r="C79" s="280" t="s">
        <v>290</v>
      </c>
      <c r="D79" s="280"/>
    </row>
    <row r="80" spans="2:4">
      <c r="B80" s="281">
        <v>45363.747430555559</v>
      </c>
      <c r="C80" s="280" t="s">
        <v>634</v>
      </c>
      <c r="D80" s="280"/>
    </row>
    <row r="81" spans="2:4">
      <c r="B81" s="281">
        <v>45363.747430555559</v>
      </c>
      <c r="C81" s="280" t="s">
        <v>635</v>
      </c>
      <c r="D81" s="280"/>
    </row>
    <row r="82" spans="2:4">
      <c r="B82" s="281">
        <v>45364.453414351854</v>
      </c>
      <c r="C82" s="280" t="s">
        <v>323</v>
      </c>
      <c r="D82" s="280"/>
    </row>
    <row r="83" spans="2:4">
      <c r="B83" s="281">
        <v>45364.453425925924</v>
      </c>
      <c r="C83" s="280" t="s">
        <v>296</v>
      </c>
      <c r="D83" s="280"/>
    </row>
    <row r="84" spans="2:4">
      <c r="B84" s="281">
        <v>45364.4534375</v>
      </c>
      <c r="C84" s="280" t="s">
        <v>437</v>
      </c>
      <c r="D84" s="280"/>
    </row>
    <row r="85" spans="2:4">
      <c r="B85" s="281">
        <v>45364.4534375</v>
      </c>
      <c r="C85" s="280" t="s">
        <v>293</v>
      </c>
      <c r="D85" s="280"/>
    </row>
    <row r="86" spans="2:4">
      <c r="B86" s="281">
        <v>45364.453449074077</v>
      </c>
      <c r="C86" s="280" t="s">
        <v>626</v>
      </c>
      <c r="D86" s="280"/>
    </row>
    <row r="87" spans="2:4">
      <c r="B87" s="281">
        <v>45364.453483796293</v>
      </c>
      <c r="C87" s="280" t="s">
        <v>290</v>
      </c>
      <c r="D87" s="280"/>
    </row>
    <row r="88" spans="2:4">
      <c r="B88" s="281">
        <v>45364.453483796293</v>
      </c>
      <c r="C88" s="280" t="s">
        <v>627</v>
      </c>
      <c r="D88" s="280"/>
    </row>
    <row r="89" spans="2:4">
      <c r="B89" s="281">
        <v>45364.45349537037</v>
      </c>
      <c r="C89" s="280" t="s">
        <v>298</v>
      </c>
      <c r="D89" s="280"/>
    </row>
    <row r="90" spans="2:4">
      <c r="B90" s="281">
        <v>45364.6016087963</v>
      </c>
      <c r="C90" s="280" t="s">
        <v>629</v>
      </c>
      <c r="D90" s="280"/>
    </row>
    <row r="91" spans="2:4">
      <c r="B91" s="281">
        <v>45364.6016087963</v>
      </c>
      <c r="C91" s="280" t="s">
        <v>296</v>
      </c>
      <c r="D91" s="280"/>
    </row>
    <row r="92" spans="2:4">
      <c r="B92" s="281">
        <v>45364.601620370369</v>
      </c>
      <c r="C92" s="280" t="s">
        <v>437</v>
      </c>
      <c r="D92" s="280"/>
    </row>
    <row r="93" spans="2:4">
      <c r="B93" s="281">
        <v>45364.601620370369</v>
      </c>
      <c r="C93" s="280" t="s">
        <v>293</v>
      </c>
      <c r="D93" s="280"/>
    </row>
    <row r="94" spans="2:4">
      <c r="B94" s="281">
        <v>45364.601620370369</v>
      </c>
      <c r="C94" s="280" t="s">
        <v>630</v>
      </c>
      <c r="D94" s="280"/>
    </row>
    <row r="95" spans="2:4">
      <c r="B95" s="281">
        <v>45364.601631944446</v>
      </c>
      <c r="C95" s="280" t="s">
        <v>290</v>
      </c>
      <c r="D95" s="280"/>
    </row>
    <row r="96" spans="2:4">
      <c r="B96" s="281">
        <v>45364.601631944446</v>
      </c>
      <c r="C96" s="280" t="s">
        <v>634</v>
      </c>
      <c r="D96" s="280"/>
    </row>
    <row r="97" spans="2:4">
      <c r="B97" s="281">
        <v>45364.601631944446</v>
      </c>
      <c r="C97" s="280" t="s">
        <v>635</v>
      </c>
      <c r="D97" s="280"/>
    </row>
    <row r="98" spans="2:4">
      <c r="B98" s="281">
        <v>45369.567719907405</v>
      </c>
      <c r="C98" s="280" t="s">
        <v>323</v>
      </c>
      <c r="D98" s="280"/>
    </row>
    <row r="99" spans="2:4">
      <c r="B99" s="281">
        <v>45369.567719907405</v>
      </c>
      <c r="C99" s="280" t="s">
        <v>296</v>
      </c>
      <c r="D99" s="280"/>
    </row>
    <row r="100" spans="2:4">
      <c r="B100" s="281">
        <v>45369.567719907405</v>
      </c>
      <c r="C100" s="280" t="s">
        <v>437</v>
      </c>
      <c r="D100" s="280"/>
    </row>
    <row r="101" spans="2:4">
      <c r="B101" s="281">
        <v>45369.567719907405</v>
      </c>
      <c r="C101" s="280" t="s">
        <v>293</v>
      </c>
      <c r="D101" s="280"/>
    </row>
    <row r="102" spans="2:4">
      <c r="B102" s="281">
        <v>45369.567719907405</v>
      </c>
      <c r="C102" s="280" t="s">
        <v>626</v>
      </c>
      <c r="D102" s="280"/>
    </row>
    <row r="103" spans="2:4">
      <c r="B103" s="281">
        <v>45369.567754629628</v>
      </c>
      <c r="C103" s="280" t="s">
        <v>290</v>
      </c>
      <c r="D103" s="280"/>
    </row>
    <row r="104" spans="2:4">
      <c r="B104" s="281">
        <v>45369.567754629628</v>
      </c>
      <c r="C104" s="280" t="s">
        <v>627</v>
      </c>
      <c r="D104" s="280"/>
    </row>
    <row r="105" spans="2:4">
      <c r="B105" s="281">
        <v>45369.567754629628</v>
      </c>
      <c r="C105" s="280" t="s">
        <v>298</v>
      </c>
      <c r="D105" s="280"/>
    </row>
    <row r="106" spans="2:4">
      <c r="B106" s="281">
        <v>45369.569525462961</v>
      </c>
      <c r="C106" s="280" t="s">
        <v>323</v>
      </c>
      <c r="D106" s="280"/>
    </row>
    <row r="107" spans="2:4">
      <c r="B107" s="281">
        <v>45369.569525462961</v>
      </c>
      <c r="C107" s="280" t="s">
        <v>296</v>
      </c>
      <c r="D107" s="280"/>
    </row>
    <row r="108" spans="2:4">
      <c r="B108" s="281">
        <v>45369.569525462961</v>
      </c>
      <c r="C108" s="280" t="s">
        <v>437</v>
      </c>
      <c r="D108" s="280"/>
    </row>
    <row r="109" spans="2:4">
      <c r="B109" s="281">
        <v>45369.569525462961</v>
      </c>
      <c r="C109" s="280" t="s">
        <v>293</v>
      </c>
      <c r="D109" s="280"/>
    </row>
    <row r="110" spans="2:4">
      <c r="B110" s="281">
        <v>45369.569525462961</v>
      </c>
      <c r="C110" s="280" t="s">
        <v>626</v>
      </c>
      <c r="D110" s="280"/>
    </row>
    <row r="111" spans="2:4">
      <c r="B111" s="281">
        <v>45369.569537037038</v>
      </c>
      <c r="C111" s="280" t="s">
        <v>290</v>
      </c>
      <c r="D111" s="280"/>
    </row>
    <row r="112" spans="2:4">
      <c r="B112" s="281">
        <v>45369.569537037038</v>
      </c>
      <c r="C112" s="280" t="s">
        <v>634</v>
      </c>
      <c r="D112" s="280"/>
    </row>
    <row r="113" spans="2:4">
      <c r="B113" s="281">
        <v>45369.569537037038</v>
      </c>
      <c r="C113" s="280" t="s">
        <v>635</v>
      </c>
      <c r="D113" s="280"/>
    </row>
    <row r="114" spans="2:4">
      <c r="B114" s="281">
        <v>45369.569606481484</v>
      </c>
      <c r="C114" s="280" t="s">
        <v>323</v>
      </c>
      <c r="D114" s="280"/>
    </row>
    <row r="115" spans="2:4">
      <c r="B115" s="281">
        <v>45369.569606481484</v>
      </c>
      <c r="C115" s="280" t="s">
        <v>296</v>
      </c>
      <c r="D115" s="280"/>
    </row>
    <row r="116" spans="2:4">
      <c r="B116" s="281">
        <v>45369.569606481484</v>
      </c>
      <c r="C116" s="280" t="s">
        <v>437</v>
      </c>
      <c r="D116" s="280"/>
    </row>
    <row r="117" spans="2:4">
      <c r="B117" s="281">
        <v>45369.569606481484</v>
      </c>
      <c r="C117" s="280" t="s">
        <v>293</v>
      </c>
      <c r="D117" s="280"/>
    </row>
    <row r="118" spans="2:4">
      <c r="B118" s="281">
        <v>45369.569606481484</v>
      </c>
      <c r="C118" s="280" t="s">
        <v>626</v>
      </c>
      <c r="D118" s="280"/>
    </row>
    <row r="119" spans="2:4">
      <c r="B119" s="281">
        <v>45369.569618055553</v>
      </c>
      <c r="C119" s="280" t="s">
        <v>290</v>
      </c>
      <c r="D119" s="280"/>
    </row>
    <row r="120" spans="2:4">
      <c r="B120" s="281">
        <v>45369.569618055553</v>
      </c>
      <c r="C120" s="280" t="s">
        <v>627</v>
      </c>
      <c r="D120" s="280"/>
    </row>
    <row r="121" spans="2:4">
      <c r="B121" s="281">
        <v>45369.569618055553</v>
      </c>
      <c r="C121" s="280" t="s">
        <v>298</v>
      </c>
      <c r="D121" s="280"/>
    </row>
    <row r="122" spans="2:4">
      <c r="B122" s="281">
        <v>45369.572025462963</v>
      </c>
      <c r="C122" s="280" t="s">
        <v>323</v>
      </c>
      <c r="D122" s="280"/>
    </row>
    <row r="123" spans="2:4">
      <c r="B123" s="281">
        <v>45369.572025462963</v>
      </c>
      <c r="C123" s="280" t="s">
        <v>296</v>
      </c>
      <c r="D123" s="280"/>
    </row>
    <row r="124" spans="2:4">
      <c r="B124" s="281">
        <v>45369.572025462963</v>
      </c>
      <c r="C124" s="280" t="s">
        <v>437</v>
      </c>
      <c r="D124" s="280"/>
    </row>
    <row r="125" spans="2:4">
      <c r="B125" s="281">
        <v>45369.572025462963</v>
      </c>
      <c r="C125" s="280" t="s">
        <v>293</v>
      </c>
      <c r="D125" s="280"/>
    </row>
    <row r="126" spans="2:4">
      <c r="B126" s="281">
        <v>45369.572025462963</v>
      </c>
      <c r="C126" s="280" t="s">
        <v>626</v>
      </c>
      <c r="D126" s="280"/>
    </row>
    <row r="127" spans="2:4">
      <c r="B127" s="281">
        <v>45369.572048611109</v>
      </c>
      <c r="C127" s="280" t="s">
        <v>290</v>
      </c>
      <c r="D127" s="280"/>
    </row>
    <row r="128" spans="2:4">
      <c r="B128" s="281">
        <v>45369.572048611109</v>
      </c>
      <c r="C128" s="280" t="s">
        <v>634</v>
      </c>
      <c r="D128" s="280"/>
    </row>
    <row r="129" spans="2:4">
      <c r="B129" s="281">
        <v>45369.572048611109</v>
      </c>
      <c r="C129" s="280" t="s">
        <v>635</v>
      </c>
      <c r="D129" s="280"/>
    </row>
    <row r="130" spans="2:4">
      <c r="B130" s="281">
        <v>45369.572152777779</v>
      </c>
      <c r="C130" s="280" t="s">
        <v>323</v>
      </c>
      <c r="D130" s="280"/>
    </row>
    <row r="131" spans="2:4">
      <c r="B131" s="281">
        <v>45369.572152777779</v>
      </c>
      <c r="C131" s="280" t="s">
        <v>296</v>
      </c>
      <c r="D131" s="280"/>
    </row>
    <row r="132" spans="2:4">
      <c r="B132" s="281">
        <v>45369.572152777779</v>
      </c>
      <c r="C132" s="280" t="s">
        <v>437</v>
      </c>
      <c r="D132" s="280"/>
    </row>
    <row r="133" spans="2:4">
      <c r="B133" s="281">
        <v>45369.572152777779</v>
      </c>
      <c r="C133" s="280" t="s">
        <v>293</v>
      </c>
      <c r="D133" s="280"/>
    </row>
    <row r="134" spans="2:4">
      <c r="B134" s="281">
        <v>45369.572152777779</v>
      </c>
      <c r="C134" s="280" t="s">
        <v>626</v>
      </c>
      <c r="D134" s="280"/>
    </row>
    <row r="135" spans="2:4">
      <c r="B135" s="281">
        <v>45369.572164351855</v>
      </c>
      <c r="C135" s="280" t="s">
        <v>290</v>
      </c>
      <c r="D135" s="280"/>
    </row>
    <row r="136" spans="2:4">
      <c r="B136" s="281">
        <v>45369.572164351855</v>
      </c>
      <c r="C136" s="280" t="s">
        <v>627</v>
      </c>
      <c r="D136" s="280"/>
    </row>
    <row r="137" spans="2:4">
      <c r="B137" s="281">
        <v>45369.572164351855</v>
      </c>
      <c r="C137" s="280" t="s">
        <v>298</v>
      </c>
      <c r="D137" s="280"/>
    </row>
    <row r="138" spans="2:4">
      <c r="B138" s="281">
        <v>45369.55877314815</v>
      </c>
      <c r="C138" s="280" t="s">
        <v>629</v>
      </c>
      <c r="D138" s="280"/>
    </row>
    <row r="139" spans="2:4">
      <c r="B139" s="281">
        <v>45369.55877314815</v>
      </c>
      <c r="C139" s="280" t="s">
        <v>296</v>
      </c>
      <c r="D139" s="280"/>
    </row>
    <row r="140" spans="2:4">
      <c r="B140" s="281">
        <v>45369.55877314815</v>
      </c>
      <c r="C140" s="280" t="s">
        <v>437</v>
      </c>
      <c r="D140" s="280"/>
    </row>
    <row r="141" spans="2:4">
      <c r="B141" s="281">
        <v>45369.55877314815</v>
      </c>
      <c r="C141" s="280" t="s">
        <v>293</v>
      </c>
      <c r="D141" s="280"/>
    </row>
    <row r="142" spans="2:4">
      <c r="B142" s="281">
        <v>45369.55877314815</v>
      </c>
      <c r="C142" s="280" t="s">
        <v>630</v>
      </c>
      <c r="D142" s="280"/>
    </row>
    <row r="143" spans="2:4">
      <c r="B143" s="281">
        <v>45369.558796296296</v>
      </c>
      <c r="C143" s="280" t="s">
        <v>290</v>
      </c>
      <c r="D143" s="280"/>
    </row>
    <row r="144" spans="2:4">
      <c r="B144" s="281">
        <v>45369.558796296296</v>
      </c>
      <c r="C144" s="280" t="s">
        <v>627</v>
      </c>
      <c r="D144" s="280"/>
    </row>
    <row r="145" spans="2:4">
      <c r="B145" s="281">
        <v>45369.558796296296</v>
      </c>
      <c r="C145" s="280" t="s">
        <v>298</v>
      </c>
      <c r="D145" s="280"/>
    </row>
    <row r="146" spans="2:4">
      <c r="B146" s="281">
        <v>45370.586886574078</v>
      </c>
      <c r="C146" s="280" t="s">
        <v>629</v>
      </c>
      <c r="D146" s="280"/>
    </row>
    <row r="147" spans="2:4">
      <c r="B147" s="281">
        <v>45370.586886574078</v>
      </c>
      <c r="C147" s="280" t="s">
        <v>296</v>
      </c>
      <c r="D147" s="280"/>
    </row>
    <row r="148" spans="2:4">
      <c r="B148" s="281">
        <v>45370.586886574078</v>
      </c>
      <c r="C148" s="280" t="s">
        <v>437</v>
      </c>
      <c r="D148" s="280"/>
    </row>
    <row r="149" spans="2:4">
      <c r="B149" s="281">
        <v>45370.586886574078</v>
      </c>
      <c r="C149" s="280" t="s">
        <v>293</v>
      </c>
      <c r="D149" s="280"/>
    </row>
    <row r="150" spans="2:4">
      <c r="B150" s="281">
        <v>45370.586886574078</v>
      </c>
      <c r="C150" s="280" t="s">
        <v>630</v>
      </c>
      <c r="D150" s="280"/>
    </row>
    <row r="151" spans="2:4">
      <c r="B151" s="281">
        <v>45370.586909722224</v>
      </c>
      <c r="C151" s="280" t="s">
        <v>290</v>
      </c>
      <c r="D151" s="280"/>
    </row>
    <row r="152" spans="2:4">
      <c r="B152" s="281">
        <v>45370.586909722224</v>
      </c>
      <c r="C152" s="280" t="s">
        <v>627</v>
      </c>
      <c r="D152" s="280"/>
    </row>
    <row r="153" spans="2:4">
      <c r="B153" s="281">
        <v>45370.586909722224</v>
      </c>
      <c r="C153" s="280" t="s">
        <v>298</v>
      </c>
      <c r="D153" s="280"/>
    </row>
    <row r="154" spans="2:4">
      <c r="B154" s="281">
        <v>45370.593773148146</v>
      </c>
      <c r="C154" s="280" t="s">
        <v>629</v>
      </c>
      <c r="D154" s="280"/>
    </row>
    <row r="155" spans="2:4">
      <c r="B155" s="281">
        <v>45370.593773148146</v>
      </c>
      <c r="C155" s="280" t="s">
        <v>296</v>
      </c>
      <c r="D155" s="280"/>
    </row>
    <row r="156" spans="2:4">
      <c r="B156" s="281">
        <v>45370.593773148146</v>
      </c>
      <c r="C156" s="280" t="s">
        <v>437</v>
      </c>
      <c r="D156" s="280"/>
    </row>
    <row r="157" spans="2:4">
      <c r="B157" s="281">
        <v>45370.593773148146</v>
      </c>
      <c r="C157" s="280" t="s">
        <v>293</v>
      </c>
      <c r="D157" s="280"/>
    </row>
    <row r="158" spans="2:4">
      <c r="B158" s="281">
        <v>45370.593773148146</v>
      </c>
      <c r="C158" s="280" t="s">
        <v>679</v>
      </c>
      <c r="D158" s="280"/>
    </row>
    <row r="159" spans="2:4">
      <c r="B159" s="281">
        <v>45370.5937962963</v>
      </c>
      <c r="C159" s="280" t="s">
        <v>290</v>
      </c>
      <c r="D159" s="280"/>
    </row>
    <row r="160" spans="2:4">
      <c r="B160" s="281">
        <v>45370.5937962963</v>
      </c>
      <c r="C160" s="280" t="s">
        <v>634</v>
      </c>
      <c r="D160" s="280"/>
    </row>
    <row r="161" spans="2:4">
      <c r="B161" s="281">
        <v>45370.5937962963</v>
      </c>
      <c r="C161" s="280" t="s">
        <v>635</v>
      </c>
      <c r="D161" s="280"/>
    </row>
    <row r="162" spans="2:4">
      <c r="B162" s="281"/>
      <c r="C162" s="280"/>
      <c r="D162" s="280"/>
    </row>
    <row r="163" spans="2:4">
      <c r="B163" s="281"/>
      <c r="C163" s="280"/>
      <c r="D163" s="280"/>
    </row>
    <row r="164" spans="2:4">
      <c r="B164" s="281"/>
      <c r="C164" s="280"/>
      <c r="D164" s="280"/>
    </row>
    <row r="165" spans="2:4">
      <c r="B165" s="281"/>
      <c r="C165" s="280"/>
      <c r="D165" s="280"/>
    </row>
    <row r="166" spans="2:4">
      <c r="B166" s="281"/>
      <c r="C166" s="280"/>
      <c r="D166" s="280"/>
    </row>
    <row r="167" spans="2:4">
      <c r="B167" s="281"/>
      <c r="C167" s="280"/>
      <c r="D167" s="280"/>
    </row>
    <row r="168" spans="2:4">
      <c r="B168" s="281"/>
      <c r="C168" s="280"/>
      <c r="D168" s="280"/>
    </row>
    <row r="169" spans="2:4">
      <c r="B169" s="281"/>
      <c r="C169" s="280"/>
      <c r="D169" s="280"/>
    </row>
    <row r="170" spans="2:4">
      <c r="B170" s="281"/>
      <c r="C170" s="280"/>
      <c r="D170" s="280"/>
    </row>
    <row r="171" spans="2:4">
      <c r="B171" s="281"/>
      <c r="C171" s="280"/>
      <c r="D171" s="280"/>
    </row>
    <row r="172" spans="2:4">
      <c r="B172" s="281"/>
      <c r="C172" s="280"/>
      <c r="D172" s="280"/>
    </row>
    <row r="173" spans="2:4">
      <c r="B173" s="281"/>
      <c r="C173" s="280"/>
      <c r="D173" s="280"/>
    </row>
    <row r="174" spans="2:4">
      <c r="B174" s="281"/>
      <c r="C174" s="280"/>
      <c r="D174" s="280"/>
    </row>
    <row r="175" spans="2:4">
      <c r="B175" s="281"/>
      <c r="C175" s="280"/>
      <c r="D175" s="280"/>
    </row>
    <row r="176" spans="2:4">
      <c r="B176" s="281"/>
      <c r="C176" s="280"/>
      <c r="D176" s="280"/>
    </row>
    <row r="177" spans="2:4">
      <c r="B177" s="281"/>
      <c r="C177" s="280"/>
      <c r="D177" s="280"/>
    </row>
    <row r="178" spans="2:4">
      <c r="B178" s="281"/>
      <c r="C178" s="280"/>
      <c r="D178" s="280"/>
    </row>
    <row r="179" spans="2:4">
      <c r="B179" s="281"/>
      <c r="C179" s="280"/>
      <c r="D179" s="280"/>
    </row>
    <row r="180" spans="2:4">
      <c r="B180" s="281"/>
      <c r="C180" s="280"/>
      <c r="D180" s="280"/>
    </row>
    <row r="181" spans="2:4">
      <c r="B181" s="281"/>
      <c r="C181" s="280"/>
      <c r="D181" s="280"/>
    </row>
    <row r="182" spans="2:4">
      <c r="B182" s="281"/>
      <c r="C182" s="280"/>
      <c r="D182" s="280"/>
    </row>
    <row r="183" spans="2:4">
      <c r="B183" s="281"/>
      <c r="C183" s="280"/>
      <c r="D183" s="280"/>
    </row>
    <row r="184" spans="2:4">
      <c r="B184" s="281"/>
      <c r="C184" s="280"/>
      <c r="D184" s="280"/>
    </row>
    <row r="185" spans="2:4">
      <c r="B185" s="281"/>
      <c r="C185" s="280"/>
      <c r="D185" s="280"/>
    </row>
    <row r="186" spans="2:4">
      <c r="B186" s="281"/>
      <c r="C186" s="280"/>
      <c r="D186" s="280"/>
    </row>
    <row r="187" spans="2:4">
      <c r="B187" s="281"/>
      <c r="C187" s="280"/>
      <c r="D187" s="280"/>
    </row>
    <row r="188" spans="2:4">
      <c r="B188" s="281"/>
      <c r="C188" s="280"/>
      <c r="D188" s="280"/>
    </row>
    <row r="189" spans="2:4">
      <c r="B189" s="281"/>
      <c r="C189" s="280"/>
      <c r="D189" s="280"/>
    </row>
    <row r="190" spans="2:4">
      <c r="B190" s="281"/>
      <c r="C190" s="280"/>
      <c r="D190" s="280"/>
    </row>
    <row r="191" spans="2:4">
      <c r="B191" s="281"/>
      <c r="C191" s="280"/>
      <c r="D191" s="280"/>
    </row>
    <row r="192" spans="2:4">
      <c r="B192" s="281"/>
      <c r="C192" s="280"/>
      <c r="D192" s="280"/>
    </row>
    <row r="193" spans="2:4">
      <c r="B193" s="281"/>
      <c r="C193" s="280"/>
      <c r="D193" s="280"/>
    </row>
    <row r="194" spans="2:4">
      <c r="B194" s="281"/>
      <c r="C194" s="280"/>
      <c r="D194" s="280"/>
    </row>
    <row r="195" spans="2:4">
      <c r="B195" s="281"/>
      <c r="C195" s="280"/>
      <c r="D195" s="280"/>
    </row>
    <row r="196" spans="2:4">
      <c r="B196" s="281"/>
      <c r="C196" s="280"/>
      <c r="D196" s="280"/>
    </row>
    <row r="197" spans="2:4">
      <c r="B197" s="281"/>
      <c r="C197" s="280"/>
      <c r="D197" s="280"/>
    </row>
    <row r="198" spans="2:4">
      <c r="B198" s="281"/>
      <c r="C198" s="280"/>
      <c r="D198" s="280"/>
    </row>
    <row r="199" spans="2:4">
      <c r="B199" s="281"/>
      <c r="C199" s="280"/>
      <c r="D199" s="280"/>
    </row>
    <row r="200" spans="2:4">
      <c r="B200" s="281"/>
      <c r="C200" s="280"/>
      <c r="D200" s="280"/>
    </row>
    <row r="201" spans="2:4">
      <c r="B201" s="281"/>
      <c r="C201" s="280"/>
      <c r="D201" s="280"/>
    </row>
    <row r="202" spans="2:4">
      <c r="B202" s="281"/>
      <c r="C202" s="280"/>
      <c r="D202" s="280"/>
    </row>
    <row r="203" spans="2:4">
      <c r="B203" s="281"/>
      <c r="C203" s="280"/>
      <c r="D203" s="280"/>
    </row>
    <row r="204" spans="2:4">
      <c r="B204" s="281"/>
      <c r="C204" s="280"/>
      <c r="D204" s="280"/>
    </row>
    <row r="205" spans="2:4">
      <c r="B205" s="281"/>
      <c r="C205" s="280"/>
      <c r="D205" s="280"/>
    </row>
    <row r="206" spans="2:4">
      <c r="B206" s="281"/>
      <c r="C206" s="280"/>
      <c r="D206" s="280"/>
    </row>
    <row r="207" spans="2:4">
      <c r="B207" s="281"/>
      <c r="C207" s="280"/>
      <c r="D207" s="280"/>
    </row>
    <row r="208" spans="2:4">
      <c r="B208" s="281"/>
      <c r="C208" s="280"/>
      <c r="D208" s="280"/>
    </row>
    <row r="209" spans="2:4">
      <c r="B209" s="281"/>
      <c r="C209" s="280"/>
      <c r="D209" s="280"/>
    </row>
    <row r="210" spans="2:4">
      <c r="B210" s="281"/>
      <c r="C210" s="280"/>
      <c r="D210" s="280"/>
    </row>
    <row r="211" spans="2:4">
      <c r="B211" s="281"/>
      <c r="C211" s="280"/>
      <c r="D211" s="280"/>
    </row>
    <row r="212" spans="2:4">
      <c r="B212" s="281"/>
      <c r="C212" s="280"/>
      <c r="D212" s="280"/>
    </row>
    <row r="213" spans="2:4">
      <c r="B213" s="281"/>
      <c r="C213" s="280"/>
      <c r="D213" s="280"/>
    </row>
    <row r="214" spans="2:4">
      <c r="B214" s="281"/>
      <c r="C214" s="280"/>
      <c r="D214" s="280"/>
    </row>
    <row r="215" spans="2:4">
      <c r="B215" s="281"/>
      <c r="C215" s="280"/>
      <c r="D215" s="280"/>
    </row>
    <row r="216" spans="2:4">
      <c r="B216" s="281"/>
      <c r="C216" s="280"/>
      <c r="D216" s="280"/>
    </row>
    <row r="217" spans="2:4">
      <c r="B217" s="281"/>
      <c r="C217" s="280"/>
      <c r="D217" s="280"/>
    </row>
    <row r="218" spans="2:4">
      <c r="B218" s="281"/>
      <c r="C218" s="280"/>
      <c r="D218" s="280"/>
    </row>
    <row r="219" spans="2:4">
      <c r="B219" s="281"/>
      <c r="C219" s="280"/>
      <c r="D219" s="280"/>
    </row>
    <row r="220" spans="2:4">
      <c r="B220" s="281"/>
      <c r="C220" s="280"/>
      <c r="D220" s="280"/>
    </row>
    <row r="221" spans="2:4">
      <c r="B221" s="281"/>
      <c r="C221" s="280"/>
      <c r="D221" s="280"/>
    </row>
    <row r="222" spans="2:4">
      <c r="B222" s="281"/>
      <c r="C222" s="280"/>
      <c r="D222" s="280"/>
    </row>
    <row r="223" spans="2:4">
      <c r="B223" s="281"/>
      <c r="C223" s="280"/>
      <c r="D223" s="280"/>
    </row>
    <row r="224" spans="2:4">
      <c r="B224" s="281"/>
      <c r="C224" s="280"/>
      <c r="D224" s="280"/>
    </row>
    <row r="225" spans="2:4">
      <c r="B225" s="281"/>
      <c r="C225" s="280"/>
      <c r="D225" s="280"/>
    </row>
    <row r="226" spans="2:4">
      <c r="B226" s="281"/>
      <c r="C226" s="280"/>
      <c r="D226" s="280"/>
    </row>
    <row r="227" spans="2:4">
      <c r="B227" s="281"/>
      <c r="C227" s="280"/>
      <c r="D227" s="280"/>
    </row>
    <row r="228" spans="2:4">
      <c r="B228" s="281"/>
      <c r="C228" s="280"/>
      <c r="D228" s="280"/>
    </row>
    <row r="229" spans="2:4">
      <c r="B229" s="281"/>
      <c r="C229" s="280"/>
      <c r="D229" s="280"/>
    </row>
    <row r="230" spans="2:4">
      <c r="B230" s="281"/>
      <c r="C230" s="280"/>
      <c r="D230" s="280"/>
    </row>
    <row r="231" spans="2:4">
      <c r="B231" s="281"/>
      <c r="C231" s="280"/>
      <c r="D231" s="280"/>
    </row>
    <row r="232" spans="2:4">
      <c r="B232" s="281"/>
      <c r="C232" s="280"/>
      <c r="D232" s="280"/>
    </row>
    <row r="233" spans="2:4">
      <c r="B233" s="281"/>
      <c r="C233" s="280"/>
      <c r="D233" s="280"/>
    </row>
    <row r="234" spans="2:4">
      <c r="B234" s="281"/>
      <c r="C234" s="280"/>
      <c r="D234" s="280"/>
    </row>
    <row r="235" spans="2:4">
      <c r="B235" s="281"/>
      <c r="C235" s="280"/>
      <c r="D235" s="280"/>
    </row>
    <row r="236" spans="2:4">
      <c r="B236" s="281"/>
      <c r="C236" s="280"/>
      <c r="D236" s="280"/>
    </row>
    <row r="237" spans="2:4">
      <c r="B237" s="281"/>
      <c r="C237" s="280"/>
      <c r="D237" s="280"/>
    </row>
    <row r="238" spans="2:4">
      <c r="B238" s="281"/>
      <c r="C238" s="280"/>
      <c r="D238" s="280"/>
    </row>
    <row r="239" spans="2:4">
      <c r="B239" s="281"/>
      <c r="C239" s="280"/>
      <c r="D239" s="280"/>
    </row>
    <row r="240" spans="2:4">
      <c r="B240" s="281"/>
      <c r="C240" s="280"/>
      <c r="D240" s="280"/>
    </row>
    <row r="241" spans="2:4">
      <c r="B241" s="281"/>
      <c r="C241" s="280"/>
      <c r="D241" s="280"/>
    </row>
    <row r="242" spans="2:4">
      <c r="B242" s="281"/>
      <c r="C242" s="280"/>
      <c r="D242" s="280"/>
    </row>
    <row r="243" spans="2:4">
      <c r="B243" s="281"/>
      <c r="C243" s="280"/>
      <c r="D243" s="280"/>
    </row>
    <row r="244" spans="2:4">
      <c r="B244" s="281"/>
      <c r="C244" s="280"/>
      <c r="D244" s="280"/>
    </row>
    <row r="245" spans="2:4">
      <c r="B245" s="281"/>
      <c r="C245" s="280"/>
      <c r="D245" s="280"/>
    </row>
    <row r="246" spans="2:4">
      <c r="B246" s="281"/>
      <c r="C246" s="280"/>
      <c r="D246" s="280"/>
    </row>
    <row r="247" spans="2:4">
      <c r="B247" s="281"/>
      <c r="C247" s="280"/>
      <c r="D247" s="280"/>
    </row>
    <row r="248" spans="2:4">
      <c r="B248" s="281"/>
      <c r="C248" s="280"/>
      <c r="D248" s="280"/>
    </row>
    <row r="249" spans="2:4">
      <c r="B249" s="281"/>
      <c r="C249" s="280"/>
      <c r="D249" s="280"/>
    </row>
    <row r="250" spans="2:4">
      <c r="B250" s="281"/>
      <c r="C250" s="280"/>
      <c r="D250" s="280"/>
    </row>
    <row r="251" spans="2:4">
      <c r="B251" s="281"/>
      <c r="C251" s="280"/>
      <c r="D251" s="280"/>
    </row>
    <row r="252" spans="2:4">
      <c r="B252" s="281"/>
      <c r="C252" s="280"/>
      <c r="D252" s="280"/>
    </row>
    <row r="253" spans="2:4">
      <c r="B253" s="281"/>
      <c r="C253" s="280"/>
      <c r="D253" s="280"/>
    </row>
    <row r="254" spans="2:4">
      <c r="B254" s="281"/>
      <c r="C254" s="280"/>
      <c r="D254" s="280"/>
    </row>
    <row r="255" spans="2:4">
      <c r="B255" s="281"/>
      <c r="C255" s="280"/>
      <c r="D255" s="280"/>
    </row>
    <row r="256" spans="2:4">
      <c r="B256" s="281"/>
      <c r="C256" s="280"/>
      <c r="D256" s="280"/>
    </row>
    <row r="257" spans="2:4">
      <c r="B257" s="281"/>
      <c r="C257" s="280"/>
      <c r="D257" s="280"/>
    </row>
    <row r="258" spans="2:4">
      <c r="B258" s="281"/>
      <c r="C258" s="280"/>
      <c r="D258" s="280"/>
    </row>
    <row r="259" spans="2:4">
      <c r="B259" s="281"/>
      <c r="C259" s="280"/>
      <c r="D259" s="280"/>
    </row>
    <row r="260" spans="2:4">
      <c r="B260" s="281"/>
      <c r="C260" s="280"/>
      <c r="D260" s="280"/>
    </row>
    <row r="261" spans="2:4">
      <c r="B261" s="281"/>
      <c r="C261" s="280"/>
      <c r="D261" s="280"/>
    </row>
    <row r="262" spans="2:4">
      <c r="B262" s="281"/>
      <c r="C262" s="280"/>
      <c r="D262" s="280"/>
    </row>
    <row r="263" spans="2:4">
      <c r="B263" s="281"/>
      <c r="C263" s="280"/>
      <c r="D263" s="280"/>
    </row>
    <row r="264" spans="2:4">
      <c r="B264" s="281"/>
      <c r="C264" s="280"/>
      <c r="D264" s="280"/>
    </row>
    <row r="265" spans="2:4">
      <c r="B265" s="281"/>
      <c r="C265" s="280"/>
      <c r="D265" s="280"/>
    </row>
    <row r="266" spans="2:4">
      <c r="B266" s="281"/>
      <c r="C266" s="280"/>
      <c r="D266" s="280"/>
    </row>
    <row r="267" spans="2:4">
      <c r="B267" s="281"/>
      <c r="C267" s="280"/>
      <c r="D267" s="280"/>
    </row>
    <row r="268" spans="2:4">
      <c r="B268" s="281"/>
      <c r="C268" s="280"/>
      <c r="D268" s="280"/>
    </row>
    <row r="269" spans="2:4">
      <c r="B269" s="281"/>
      <c r="C269" s="280"/>
      <c r="D269" s="280"/>
    </row>
    <row r="270" spans="2:4">
      <c r="B270" s="281"/>
      <c r="C270" s="280"/>
      <c r="D270" s="280"/>
    </row>
    <row r="271" spans="2:4">
      <c r="B271" s="281"/>
      <c r="C271" s="280"/>
      <c r="D271" s="280"/>
    </row>
    <row r="272" spans="2:4">
      <c r="B272" s="281"/>
      <c r="C272" s="280"/>
      <c r="D272" s="280"/>
    </row>
    <row r="273" spans="2:4">
      <c r="B273" s="281"/>
      <c r="C273" s="280"/>
      <c r="D273" s="280"/>
    </row>
    <row r="274" spans="2:4">
      <c r="B274" s="281"/>
      <c r="C274" s="280"/>
      <c r="D274" s="280"/>
    </row>
    <row r="275" spans="2:4">
      <c r="B275" s="281"/>
      <c r="C275" s="280"/>
      <c r="D275" s="280"/>
    </row>
    <row r="276" spans="2:4">
      <c r="B276" s="281"/>
      <c r="C276" s="280"/>
      <c r="D276" s="280"/>
    </row>
    <row r="277" spans="2:4">
      <c r="B277" s="281"/>
      <c r="C277" s="280"/>
      <c r="D277" s="280"/>
    </row>
    <row r="278" spans="2:4">
      <c r="B278" s="281"/>
      <c r="C278" s="280"/>
      <c r="D278" s="280"/>
    </row>
    <row r="279" spans="2:4">
      <c r="B279" s="281"/>
      <c r="C279" s="280"/>
      <c r="D279" s="280"/>
    </row>
    <row r="280" spans="2:4">
      <c r="B280" s="281"/>
      <c r="C280" s="280"/>
      <c r="D280" s="280"/>
    </row>
    <row r="281" spans="2:4">
      <c r="B281" s="281"/>
      <c r="C281" s="280"/>
      <c r="D281" s="280"/>
    </row>
    <row r="282" spans="2:4">
      <c r="B282" s="281"/>
      <c r="C282" s="280"/>
      <c r="D282" s="280"/>
    </row>
    <row r="283" spans="2:4">
      <c r="B283" s="281"/>
      <c r="C283" s="280"/>
      <c r="D283" s="280"/>
    </row>
    <row r="284" spans="2:4">
      <c r="B284" s="281"/>
      <c r="C284" s="280"/>
      <c r="D284" s="280"/>
    </row>
    <row r="285" spans="2:4">
      <c r="B285" s="281"/>
      <c r="C285" s="280"/>
      <c r="D285" s="280"/>
    </row>
    <row r="286" spans="2:4">
      <c r="B286" s="281"/>
      <c r="C286" s="280"/>
      <c r="D286" s="280"/>
    </row>
    <row r="287" spans="2:4">
      <c r="B287" s="281"/>
      <c r="C287" s="280"/>
      <c r="D287" s="280"/>
    </row>
    <row r="288" spans="2:4">
      <c r="B288" s="281"/>
      <c r="C288" s="280"/>
      <c r="D288" s="280"/>
    </row>
    <row r="289" spans="2:4">
      <c r="B289" s="281"/>
      <c r="C289" s="280"/>
      <c r="D289" s="280"/>
    </row>
    <row r="290" spans="2:4">
      <c r="B290" s="281"/>
      <c r="C290" s="280"/>
      <c r="D290" s="280"/>
    </row>
    <row r="291" spans="2:4">
      <c r="B291" s="281"/>
      <c r="C291" s="280"/>
      <c r="D291" s="280"/>
    </row>
    <row r="292" spans="2:4">
      <c r="B292" s="281"/>
      <c r="C292" s="280"/>
      <c r="D292" s="280"/>
    </row>
    <row r="293" spans="2:4">
      <c r="B293" s="281"/>
      <c r="C293" s="280"/>
      <c r="D293" s="280"/>
    </row>
    <row r="294" spans="2:4">
      <c r="B294" s="281"/>
      <c r="C294" s="280"/>
      <c r="D294" s="280"/>
    </row>
    <row r="295" spans="2:4">
      <c r="B295" s="281"/>
      <c r="C295" s="280"/>
      <c r="D295" s="280"/>
    </row>
    <row r="296" spans="2:4">
      <c r="B296" s="281"/>
      <c r="C296" s="280"/>
      <c r="D296" s="280"/>
    </row>
    <row r="297" spans="2:4">
      <c r="B297" s="281"/>
      <c r="C297" s="280"/>
      <c r="D297" s="280"/>
    </row>
    <row r="298" spans="2:4">
      <c r="B298" s="281"/>
      <c r="C298" s="280"/>
      <c r="D298" s="280"/>
    </row>
    <row r="299" spans="2:4">
      <c r="B299" s="281"/>
      <c r="C299" s="280"/>
      <c r="D299" s="280"/>
    </row>
    <row r="300" spans="2:4">
      <c r="B300" s="281"/>
      <c r="C300" s="280"/>
      <c r="D300" s="280"/>
    </row>
    <row r="301" spans="2:4">
      <c r="B301" s="281"/>
      <c r="C301" s="280"/>
      <c r="D301" s="280"/>
    </row>
    <row r="302" spans="2:4">
      <c r="B302" s="281"/>
      <c r="C302" s="280"/>
      <c r="D302" s="280"/>
    </row>
    <row r="303" spans="2:4">
      <c r="B303" s="281"/>
      <c r="C303" s="280"/>
      <c r="D303" s="280"/>
    </row>
    <row r="304" spans="2:4">
      <c r="B304" s="281"/>
      <c r="C304" s="280"/>
      <c r="D304" s="280"/>
    </row>
    <row r="305" spans="2:4">
      <c r="B305" s="281"/>
      <c r="C305" s="280"/>
      <c r="D305" s="280"/>
    </row>
    <row r="306" spans="2:4">
      <c r="B306" s="281"/>
      <c r="C306" s="280"/>
      <c r="D306" s="280"/>
    </row>
    <row r="307" spans="2:4">
      <c r="B307" s="281"/>
      <c r="C307" s="280"/>
      <c r="D307" s="280"/>
    </row>
    <row r="308" spans="2:4">
      <c r="B308" s="281"/>
      <c r="C308" s="280"/>
      <c r="D308" s="280"/>
    </row>
    <row r="309" spans="2:4">
      <c r="B309" s="281"/>
      <c r="C309" s="280"/>
      <c r="D309" s="280"/>
    </row>
    <row r="310" spans="2:4">
      <c r="B310" s="281"/>
      <c r="C310" s="280"/>
      <c r="D310" s="280"/>
    </row>
    <row r="311" spans="2:4">
      <c r="B311" s="281"/>
      <c r="C311" s="280"/>
      <c r="D311" s="280"/>
    </row>
    <row r="312" spans="2:4">
      <c r="B312" s="281"/>
      <c r="C312" s="280"/>
      <c r="D312" s="280"/>
    </row>
    <row r="313" spans="2:4">
      <c r="B313" s="281"/>
      <c r="C313" s="280"/>
      <c r="D313" s="280"/>
    </row>
    <row r="314" spans="2:4">
      <c r="B314" s="281"/>
      <c r="C314" s="280"/>
      <c r="D314" s="280"/>
    </row>
    <row r="315" spans="2:4">
      <c r="B315" s="281"/>
      <c r="C315" s="280"/>
      <c r="D315" s="280"/>
    </row>
    <row r="316" spans="2:4">
      <c r="B316" s="281"/>
      <c r="C316" s="280"/>
      <c r="D316" s="280"/>
    </row>
    <row r="317" spans="2:4">
      <c r="B317" s="281"/>
      <c r="C317" s="280"/>
      <c r="D317" s="280"/>
    </row>
    <row r="318" spans="2:4">
      <c r="B318" s="281"/>
      <c r="C318" s="280"/>
      <c r="D318" s="280"/>
    </row>
    <row r="319" spans="2:4">
      <c r="B319" s="281"/>
      <c r="C319" s="280"/>
      <c r="D319" s="280"/>
    </row>
    <row r="320" spans="2:4">
      <c r="B320" s="281"/>
      <c r="C320" s="280"/>
      <c r="D320" s="280"/>
    </row>
    <row r="321" spans="2:4">
      <c r="B321" s="281"/>
      <c r="C321" s="280"/>
      <c r="D321" s="280"/>
    </row>
    <row r="322" spans="2:4">
      <c r="B322" s="281"/>
      <c r="C322" s="280"/>
      <c r="D322" s="280"/>
    </row>
    <row r="323" spans="2:4">
      <c r="B323" s="281"/>
      <c r="C323" s="280"/>
      <c r="D323" s="280"/>
    </row>
    <row r="324" spans="2:4">
      <c r="B324" s="281"/>
      <c r="C324" s="280"/>
      <c r="D324" s="280"/>
    </row>
    <row r="325" spans="2:4">
      <c r="B325" s="281"/>
      <c r="C325" s="280"/>
      <c r="D325" s="280"/>
    </row>
    <row r="326" spans="2:4">
      <c r="B326" s="281"/>
      <c r="C326" s="280"/>
      <c r="D326" s="280"/>
    </row>
    <row r="327" spans="2:4">
      <c r="B327" s="281"/>
      <c r="C327" s="280"/>
      <c r="D327" s="280"/>
    </row>
    <row r="328" spans="2:4">
      <c r="B328" s="281"/>
      <c r="C328" s="280"/>
      <c r="D328" s="280"/>
    </row>
    <row r="329" spans="2:4">
      <c r="B329" s="281"/>
      <c r="C329" s="280"/>
      <c r="D329" s="280"/>
    </row>
    <row r="330" spans="2:4">
      <c r="B330" s="281"/>
      <c r="C330" s="280"/>
      <c r="D330" s="280"/>
    </row>
    <row r="331" spans="2:4">
      <c r="B331" s="281"/>
      <c r="C331" s="280"/>
      <c r="D331" s="280"/>
    </row>
    <row r="332" spans="2:4">
      <c r="B332" s="281"/>
      <c r="C332" s="280"/>
      <c r="D332" s="280"/>
    </row>
    <row r="333" spans="2:4">
      <c r="B333" s="281"/>
      <c r="C333" s="280"/>
      <c r="D333" s="280"/>
    </row>
    <row r="334" spans="2:4">
      <c r="B334" s="281"/>
      <c r="C334" s="280"/>
      <c r="D334" s="280"/>
    </row>
    <row r="335" spans="2:4">
      <c r="B335" s="281"/>
      <c r="C335" s="280"/>
      <c r="D335" s="280"/>
    </row>
    <row r="336" spans="2:4">
      <c r="B336" s="281"/>
      <c r="C336" s="280"/>
      <c r="D336" s="280"/>
    </row>
    <row r="337" spans="2:4">
      <c r="B337" s="281"/>
      <c r="C337" s="280"/>
      <c r="D337" s="280"/>
    </row>
    <row r="338" spans="2:4">
      <c r="B338" s="281"/>
      <c r="C338" s="280"/>
      <c r="D338" s="280"/>
    </row>
    <row r="339" spans="2:4">
      <c r="B339" s="281"/>
      <c r="C339" s="280"/>
      <c r="D339" s="280"/>
    </row>
    <row r="340" spans="2:4">
      <c r="B340" s="281"/>
      <c r="C340" s="280"/>
      <c r="D340" s="280"/>
    </row>
    <row r="341" spans="2:4">
      <c r="B341" s="281"/>
      <c r="C341" s="280"/>
      <c r="D341" s="280"/>
    </row>
    <row r="342" spans="2:4">
      <c r="B342" s="281"/>
      <c r="C342" s="280"/>
      <c r="D342" s="280"/>
    </row>
    <row r="343" spans="2:4">
      <c r="B343" s="281"/>
      <c r="C343" s="280"/>
      <c r="D343" s="280"/>
    </row>
    <row r="344" spans="2:4">
      <c r="B344" s="281"/>
      <c r="C344" s="280"/>
      <c r="D344" s="280"/>
    </row>
    <row r="345" spans="2:4">
      <c r="B345" s="281"/>
      <c r="C345" s="280"/>
      <c r="D345" s="280"/>
    </row>
    <row r="346" spans="2:4">
      <c r="B346" s="281"/>
      <c r="C346" s="280"/>
      <c r="D346" s="280"/>
    </row>
    <row r="347" spans="2:4">
      <c r="B347" s="281"/>
      <c r="C347" s="280"/>
      <c r="D347" s="280"/>
    </row>
    <row r="348" spans="2:4">
      <c r="B348" s="281"/>
      <c r="C348" s="280"/>
      <c r="D348" s="280"/>
    </row>
    <row r="349" spans="2:4">
      <c r="B349" s="281"/>
      <c r="C349" s="280"/>
      <c r="D349" s="280"/>
    </row>
    <row r="350" spans="2:4">
      <c r="B350" s="281"/>
      <c r="C350" s="280"/>
      <c r="D350" s="280"/>
    </row>
    <row r="351" spans="2:4">
      <c r="B351" s="281"/>
      <c r="C351" s="280"/>
      <c r="D351" s="280"/>
    </row>
    <row r="352" spans="2:4">
      <c r="B352" s="281"/>
      <c r="C352" s="280"/>
      <c r="D352" s="280"/>
    </row>
    <row r="353" spans="2:4">
      <c r="B353" s="281"/>
      <c r="C353" s="280"/>
      <c r="D353" s="280"/>
    </row>
    <row r="354" spans="2:4">
      <c r="B354" s="281"/>
      <c r="C354" s="280"/>
      <c r="D354" s="280"/>
    </row>
    <row r="355" spans="2:4">
      <c r="B355" s="281"/>
      <c r="C355" s="280"/>
      <c r="D355" s="280"/>
    </row>
    <row r="356" spans="2:4">
      <c r="B356" s="281"/>
      <c r="C356" s="280"/>
      <c r="D356" s="280"/>
    </row>
    <row r="357" spans="2:4">
      <c r="B357" s="281"/>
      <c r="C357" s="280"/>
      <c r="D357" s="280"/>
    </row>
    <row r="358" spans="2:4">
      <c r="B358" s="281"/>
      <c r="C358" s="280"/>
      <c r="D358" s="280"/>
    </row>
    <row r="359" spans="2:4">
      <c r="B359" s="281"/>
      <c r="C359" s="280"/>
      <c r="D359" s="280"/>
    </row>
    <row r="360" spans="2:4">
      <c r="B360" s="281"/>
      <c r="C360" s="280"/>
      <c r="D360" s="280"/>
    </row>
    <row r="361" spans="2:4">
      <c r="B361" s="281"/>
      <c r="C361" s="280"/>
      <c r="D361" s="280"/>
    </row>
    <row r="362" spans="2:4">
      <c r="B362" s="281"/>
      <c r="C362" s="280"/>
      <c r="D362" s="280"/>
    </row>
    <row r="363" spans="2:4">
      <c r="B363" s="281"/>
      <c r="C363" s="280"/>
      <c r="D363" s="280"/>
    </row>
    <row r="364" spans="2:4">
      <c r="B364" s="281"/>
      <c r="C364" s="280"/>
      <c r="D364" s="280"/>
    </row>
    <row r="365" spans="2:4">
      <c r="B365" s="281"/>
      <c r="C365" s="280"/>
      <c r="D365" s="280"/>
    </row>
    <row r="366" spans="2:4">
      <c r="B366" s="281"/>
      <c r="C366" s="280"/>
      <c r="D366" s="280"/>
    </row>
    <row r="367" spans="2:4">
      <c r="B367" s="281"/>
      <c r="C367" s="280"/>
      <c r="D367" s="280"/>
    </row>
    <row r="368" spans="2:4">
      <c r="B368" s="281"/>
      <c r="C368" s="280"/>
      <c r="D368" s="280"/>
    </row>
    <row r="369" spans="2:4">
      <c r="B369" s="281"/>
      <c r="C369" s="280"/>
      <c r="D369" s="280"/>
    </row>
    <row r="370" spans="2:4">
      <c r="B370" s="281"/>
      <c r="C370" s="280"/>
      <c r="D370" s="280"/>
    </row>
    <row r="371" spans="2:4">
      <c r="B371" s="281"/>
      <c r="C371" s="280"/>
      <c r="D371" s="280"/>
    </row>
    <row r="372" spans="2:4">
      <c r="B372" s="281"/>
      <c r="C372" s="280"/>
      <c r="D372" s="280"/>
    </row>
    <row r="373" spans="2:4">
      <c r="B373" s="281"/>
      <c r="C373" s="280"/>
      <c r="D373" s="280"/>
    </row>
    <row r="374" spans="2:4">
      <c r="B374" s="281"/>
      <c r="C374" s="280"/>
      <c r="D374" s="280"/>
    </row>
    <row r="375" spans="2:4">
      <c r="B375" s="281"/>
      <c r="C375" s="280"/>
      <c r="D375" s="280"/>
    </row>
    <row r="376" spans="2:4">
      <c r="B376" s="281"/>
      <c r="C376" s="280"/>
      <c r="D376" s="280"/>
    </row>
    <row r="377" spans="2:4">
      <c r="B377" s="281"/>
      <c r="C377" s="280"/>
      <c r="D377" s="280"/>
    </row>
    <row r="378" spans="2:4">
      <c r="B378" s="281"/>
      <c r="C378" s="280"/>
      <c r="D378" s="280"/>
    </row>
    <row r="379" spans="2:4">
      <c r="B379" s="281"/>
      <c r="C379" s="280"/>
      <c r="D379" s="280"/>
    </row>
    <row r="380" spans="2:4">
      <c r="B380" s="281"/>
      <c r="C380" s="280"/>
      <c r="D380" s="280"/>
    </row>
    <row r="381" spans="2:4">
      <c r="B381" s="281"/>
      <c r="C381" s="280"/>
      <c r="D381" s="280"/>
    </row>
    <row r="382" spans="2:4">
      <c r="B382" s="281"/>
      <c r="C382" s="280"/>
      <c r="D382" s="280"/>
    </row>
    <row r="383" spans="2:4">
      <c r="B383" s="281"/>
      <c r="C383" s="280"/>
      <c r="D383" s="280"/>
    </row>
    <row r="384" spans="2:4">
      <c r="B384" s="281"/>
      <c r="C384" s="280"/>
      <c r="D384" s="280"/>
    </row>
    <row r="385" spans="2:4">
      <c r="B385" s="281"/>
      <c r="C385" s="280"/>
      <c r="D385" s="280"/>
    </row>
    <row r="386" spans="2:4">
      <c r="B386" s="281"/>
      <c r="C386" s="280"/>
      <c r="D386" s="280"/>
    </row>
    <row r="387" spans="2:4">
      <c r="B387" s="281"/>
      <c r="C387" s="280"/>
      <c r="D387" s="280"/>
    </row>
    <row r="388" spans="2:4">
      <c r="B388" s="281"/>
      <c r="C388" s="280"/>
      <c r="D388" s="280"/>
    </row>
    <row r="389" spans="2:4">
      <c r="B389" s="281"/>
      <c r="C389" s="280"/>
      <c r="D389" s="280"/>
    </row>
    <row r="390" spans="2:4">
      <c r="B390" s="281"/>
      <c r="C390" s="280"/>
      <c r="D390" s="280"/>
    </row>
    <row r="391" spans="2:4">
      <c r="B391" s="281"/>
      <c r="C391" s="280"/>
      <c r="D391" s="280"/>
    </row>
    <row r="392" spans="2:4">
      <c r="B392" s="281"/>
      <c r="C392" s="280"/>
      <c r="D392" s="280"/>
    </row>
  </sheetData>
  <sheetProtection formatCells="0"/>
  <conditionalFormatting sqref="C14:C15 D4:D5 B4:B5 B7 D7 C17:C1048576">
    <cfRule type="expression" dxfId="48" priority="28" stopIfTrue="1">
      <formula>MOD(ROW(),2)=1</formula>
    </cfRule>
    <cfRule type="expression" dxfId="47" priority="29" stopIfTrue="1">
      <formula>MOD(ROW(),2)=0</formula>
    </cfRule>
  </conditionalFormatting>
  <conditionalFormatting sqref="C7">
    <cfRule type="expression" dxfId="46" priority="27" stopIfTrue="1">
      <formula>MOD(ROW(),2)=1</formula>
    </cfRule>
    <cfRule type="expression" dxfId="45" priority="30" stopIfTrue="1">
      <formula>MOD(ROW(),2)=0</formula>
    </cfRule>
  </conditionalFormatting>
  <conditionalFormatting sqref="B8">
    <cfRule type="expression" dxfId="44" priority="24" stopIfTrue="1">
      <formula>MOD(ROW(),2)=1</formula>
    </cfRule>
    <cfRule type="expression" dxfId="43" priority="25" stopIfTrue="1">
      <formula>MOD(ROW(),2)=0</formula>
    </cfRule>
  </conditionalFormatting>
  <conditionalFormatting sqref="C8">
    <cfRule type="expression" dxfId="42" priority="23" stopIfTrue="1">
      <formula>MOD(ROW(),2)=1</formula>
    </cfRule>
    <cfRule type="expression" dxfId="41" priority="26" stopIfTrue="1">
      <formula>MOD(ROW(),2)=0</formula>
    </cfRule>
  </conditionalFormatting>
  <conditionalFormatting sqref="B10:B15 B17:B392">
    <cfRule type="expression" dxfId="40" priority="21" stopIfTrue="1">
      <formula>MOD(ROW(),2)=1</formula>
    </cfRule>
    <cfRule type="expression" dxfId="39" priority="22" stopIfTrue="1">
      <formula>MOD(ROW(),2)=0</formula>
    </cfRule>
  </conditionalFormatting>
  <conditionalFormatting sqref="C10">
    <cfRule type="expression" dxfId="38" priority="19" stopIfTrue="1">
      <formula>MOD(ROW(),2)=1</formula>
    </cfRule>
    <cfRule type="expression" dxfId="37" priority="20" stopIfTrue="1">
      <formula>MOD(ROW(),2)=0</formula>
    </cfRule>
  </conditionalFormatting>
  <conditionalFormatting sqref="D8">
    <cfRule type="expression" dxfId="36" priority="17" stopIfTrue="1">
      <formula>MOD(ROW(),2)=1</formula>
    </cfRule>
    <cfRule type="expression" dxfId="35" priority="18" stopIfTrue="1">
      <formula>MOD(ROW(),2)=0</formula>
    </cfRule>
  </conditionalFormatting>
  <conditionalFormatting sqref="D10:D15 D17:D392">
    <cfRule type="expression" dxfId="34" priority="15" stopIfTrue="1">
      <formula>MOD(ROW(),2)=1</formula>
    </cfRule>
    <cfRule type="expression" dxfId="33" priority="16" stopIfTrue="1">
      <formula>MOD(ROW(),2)=0</formula>
    </cfRule>
  </conditionalFormatting>
  <conditionalFormatting sqref="C11:C13">
    <cfRule type="expression" dxfId="32" priority="13" stopIfTrue="1">
      <formula>MOD(ROW(),2)=1</formula>
    </cfRule>
    <cfRule type="expression" dxfId="31" priority="14" stopIfTrue="1">
      <formula>MOD(ROW(),2)=0</formula>
    </cfRule>
  </conditionalFormatting>
  <conditionalFormatting sqref="B16">
    <cfRule type="expression" dxfId="30" priority="11" stopIfTrue="1">
      <formula>MOD(ROW(),2)=1</formula>
    </cfRule>
    <cfRule type="expression" dxfId="29" priority="12" stopIfTrue="1">
      <formula>MOD(ROW(),2)=0</formula>
    </cfRule>
  </conditionalFormatting>
  <conditionalFormatting sqref="C16">
    <cfRule type="expression" dxfId="28" priority="9" stopIfTrue="1">
      <formula>MOD(ROW(),2)=1</formula>
    </cfRule>
    <cfRule type="expression" dxfId="27" priority="10" stopIfTrue="1">
      <formula>MOD(ROW(),2)=0</formula>
    </cfRule>
  </conditionalFormatting>
  <conditionalFormatting sqref="D16">
    <cfRule type="expression" dxfId="26" priority="7" stopIfTrue="1">
      <formula>MOD(ROW(),2)=1</formula>
    </cfRule>
    <cfRule type="expression" dxfId="25" priority="8" stopIfTrue="1">
      <formula>MOD(ROW(),2)=0</formula>
    </cfRule>
  </conditionalFormatting>
  <conditionalFormatting sqref="B6">
    <cfRule type="expression" dxfId="24" priority="4" stopIfTrue="1">
      <formula>MOD(ROW(),2)=1</formula>
    </cfRule>
    <cfRule type="expression" dxfId="23" priority="5" stopIfTrue="1">
      <formula>MOD(ROW(),2)=0</formula>
    </cfRule>
  </conditionalFormatting>
  <conditionalFormatting sqref="C6">
    <cfRule type="expression" dxfId="22" priority="3" stopIfTrue="1">
      <formula>MOD(ROW(),2)=1</formula>
    </cfRule>
    <cfRule type="expression" dxfId="21" priority="6" stopIfTrue="1">
      <formula>MOD(ROW(),2)=0</formula>
    </cfRule>
  </conditionalFormatting>
  <conditionalFormatting sqref="D6">
    <cfRule type="expression" dxfId="20" priority="1" stopIfTrue="1">
      <formula>MOD(ROW(),2)=1</formula>
    </cfRule>
    <cfRule type="expression" dxfId="19" priority="2" stopIfTrue="1">
      <formula>MOD(ROW(),2)=0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tnClearLog_click">
                <anchor moveWithCells="1" sizeWithCells="1">
                  <from>
                    <xdr:col>3</xdr:col>
                    <xdr:colOff>2743200</xdr:colOff>
                    <xdr:row>8</xdr:row>
                    <xdr:rowOff>28575</xdr:rowOff>
                  </from>
                  <to>
                    <xdr:col>3</xdr:col>
                    <xdr:colOff>3524250</xdr:colOff>
                    <xdr:row>8</xdr:row>
                    <xdr:rowOff>238125</xdr:rowOff>
                  </to>
                </anchor>
              </controlPr>
            </control>
          </mc:Choice>
        </mc:AlternateContent>
        <mc:AlternateContent xmlns:mc="http://schemas.openxmlformats.org/markup-compatibility/2006">
          <mc:Choice Requires="x14">
            <control shapeId="7170" r:id="rId5" name="Button 2">
              <controlPr defaultSize="0" print="0" autoFill="0" autoPict="0" macro="[0]!connectBNEF">
                <anchor moveWithCells="1" sizeWithCells="1">
                  <from>
                    <xdr:col>3</xdr:col>
                    <xdr:colOff>2733675</xdr:colOff>
                    <xdr:row>1</xdr:row>
                    <xdr:rowOff>28575</xdr:rowOff>
                  </from>
                  <to>
                    <xdr:col>3</xdr:col>
                    <xdr:colOff>3514725</xdr:colOff>
                    <xdr:row>1</xdr:row>
                    <xdr:rowOff>238125</xdr:rowOff>
                  </to>
                </anchor>
              </controlPr>
            </control>
          </mc:Choice>
        </mc:AlternateContent>
        <mc:AlternateContent xmlns:mc="http://schemas.openxmlformats.org/markup-compatibility/2006">
          <mc:Choice Requires="x14">
            <control shapeId="7171" r:id="rId6" name="Button 3">
              <controlPr defaultSize="0" print="0" autoFill="0" autoPict="0" macro="[0]!setupWorkbook">
                <anchor moveWithCells="1" sizeWithCells="1">
                  <from>
                    <xdr:col>5</xdr:col>
                    <xdr:colOff>2457450</xdr:colOff>
                    <xdr:row>8</xdr:row>
                    <xdr:rowOff>47625</xdr:rowOff>
                  </from>
                  <to>
                    <xdr:col>5</xdr:col>
                    <xdr:colOff>3762375</xdr:colOff>
                    <xdr:row>9</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59B44-9F33-4EDC-9700-BDEA39CE2421}">
  <sheetPr codeName="Sheet19"/>
  <dimension ref="A1:AJ223"/>
  <sheetViews>
    <sheetView topLeftCell="C1" workbookViewId="0">
      <selection activeCell="J56" sqref="J56"/>
    </sheetView>
  </sheetViews>
  <sheetFormatPr defaultColWidth="8.7109375" defaultRowHeight="12.75"/>
  <cols>
    <col min="1" max="1" width="44.42578125" style="34" customWidth="1"/>
    <col min="2" max="2" width="18.42578125" style="34" bestFit="1" customWidth="1"/>
    <col min="3" max="6" width="20.85546875" style="34" customWidth="1"/>
    <col min="7" max="7" width="8.7109375" style="34"/>
    <col min="8" max="8" width="13.85546875" style="34" customWidth="1"/>
    <col min="9" max="9" width="8.7109375" style="34"/>
    <col min="10" max="10" width="37.140625" style="34" customWidth="1"/>
    <col min="11" max="16384" width="8.7109375" style="34"/>
  </cols>
  <sheetData>
    <row r="1" spans="1:20" ht="20.25">
      <c r="F1" s="24" t="str" cm="1">
        <f t="array" aca="1" ref="F1" ca="1">IFERROR(MID(CELL("filename",A1),FIND("]",CELL("filename",A1))+1,255),"(Becomes sheet name when saved; delete if not required.)")</f>
        <v>RawData</v>
      </c>
    </row>
    <row r="2" spans="1:20">
      <c r="A2" s="21" t="s">
        <v>439</v>
      </c>
      <c r="B2" s="34" t="s">
        <v>119</v>
      </c>
      <c r="C2" s="34" t="s">
        <v>440</v>
      </c>
      <c r="D2" s="21" t="s">
        <v>438</v>
      </c>
      <c r="E2" s="34" t="s">
        <v>440</v>
      </c>
      <c r="G2" s="34" t="s">
        <v>441</v>
      </c>
      <c r="H2" s="21" t="s">
        <v>442</v>
      </c>
      <c r="I2" s="21" t="s">
        <v>443</v>
      </c>
      <c r="J2" s="21" t="s">
        <v>444</v>
      </c>
      <c r="K2" s="21" t="s">
        <v>439</v>
      </c>
      <c r="L2" s="21" t="s">
        <v>598</v>
      </c>
    </row>
    <row r="3" spans="1:20">
      <c r="A3" s="34" t="str">
        <f>D3&amp;E3&amp;F3</f>
        <v>RawMaterialsCobalt (Sulfate)Sub-Catergory Total</v>
      </c>
      <c r="B3" s="34" t="s">
        <v>79</v>
      </c>
      <c r="C3" s="34" t="s">
        <v>34</v>
      </c>
      <c r="D3" s="21" t="s">
        <v>574</v>
      </c>
      <c r="E3" s="34" t="s">
        <v>327</v>
      </c>
      <c r="F3" s="34" t="s">
        <v>417</v>
      </c>
      <c r="G3" s="34">
        <v>0</v>
      </c>
      <c r="H3" s="520">
        <f>IF(I3="",1/COUNTIFS($B$3:$B$22,B3),I3/SUMIFS($I$3:$I$22,$B$3:$B$22,B3))</f>
        <v>0.2</v>
      </c>
      <c r="I3" s="531">
        <f>Weighting!E12</f>
        <v>0.2</v>
      </c>
      <c r="K3" s="34">
        <f>MATCH(C3,$AH$52:$AH$115,0)</f>
        <v>1</v>
      </c>
      <c r="L3" s="34">
        <f>COUNTIFS($AH52:$AH$115,C3)</f>
        <v>3</v>
      </c>
      <c r="M3" s="34" t="str">
        <f ca="1">$F$1&amp;"!"&amp;ADDRESS(ROW($AI$51)+K3,COLUMN($AI$51))&amp;":"&amp;ADDRESS(ROW($AI$51)+K3+L3-1,COLUMN($AI$51))</f>
        <v>RawData!$AI$52:$AI$54</v>
      </c>
      <c r="N3" s="259" t="str">
        <f ca="1">HYPERLINK("#"&amp;M3)</f>
        <v>#RawData!$AI$52:$AI$54</v>
      </c>
    </row>
    <row r="4" spans="1:20">
      <c r="A4" s="34" t="str">
        <f t="shared" ref="A4:A22" si="0">D4&amp;E4&amp;F4</f>
        <v>RawMaterialsNatural (Flake) GraphiteSub-Catergory Total</v>
      </c>
      <c r="B4" s="34" t="s">
        <v>79</v>
      </c>
      <c r="C4" s="278" t="s">
        <v>499</v>
      </c>
      <c r="D4" s="21" t="s">
        <v>574</v>
      </c>
      <c r="E4" s="34" t="s">
        <v>328</v>
      </c>
      <c r="F4" s="34" t="s">
        <v>417</v>
      </c>
      <c r="G4" s="34">
        <v>0</v>
      </c>
      <c r="H4" s="520">
        <f t="shared" ref="H4:H22" si="1">IF(I4="",1/COUNTIFS($B$3:$B$22,B4),I4/SUMIFS($I$3:$I$22,$B$3:$B$22,B4))</f>
        <v>0.2</v>
      </c>
      <c r="I4" s="531">
        <f>Weighting!E13</f>
        <v>0.2</v>
      </c>
      <c r="K4" s="34">
        <f t="shared" ref="K4:K22" si="2">MATCH(C4,$AH$52:$AH$115,0)</f>
        <v>13</v>
      </c>
      <c r="L4" s="34">
        <f>COUNTIFS($AH53:$AH$115,C4)</f>
        <v>3</v>
      </c>
      <c r="M4" s="34" t="str">
        <f t="shared" ref="M4:M22" ca="1" si="3">$F$1&amp;"!"&amp;ADDRESS(ROW($AI$51)+K4,COLUMN($AI$51))&amp;":"&amp;ADDRESS(ROW($AI$51)+K4+L4-1,COLUMN($AI$51))</f>
        <v>RawData!$AI$64:$AI$66</v>
      </c>
      <c r="N4" s="259" t="str">
        <f t="shared" ref="N4:N22" ca="1" si="4">HYPERLINK("#"&amp;M4)</f>
        <v>#RawData!$AI$64:$AI$66</v>
      </c>
    </row>
    <row r="5" spans="1:20">
      <c r="A5" s="34" t="str">
        <f t="shared" si="0"/>
        <v>RawMaterialsLithium (Carbonate and Hydroxide)Sub-Catergory Total</v>
      </c>
      <c r="B5" s="34" t="s">
        <v>79</v>
      </c>
      <c r="C5" s="34" t="s">
        <v>33</v>
      </c>
      <c r="D5" s="21" t="s">
        <v>574</v>
      </c>
      <c r="E5" s="34" t="s">
        <v>329</v>
      </c>
      <c r="F5" s="34" t="s">
        <v>417</v>
      </c>
      <c r="G5" s="34">
        <v>0</v>
      </c>
      <c r="H5" s="520">
        <f t="shared" si="1"/>
        <v>0.2</v>
      </c>
      <c r="I5" s="531">
        <f>Weighting!E14</f>
        <v>0.2</v>
      </c>
      <c r="K5" s="34">
        <f t="shared" si="2"/>
        <v>5</v>
      </c>
      <c r="L5" s="34">
        <f>COUNTIFS($AH54:$AH$115,C5)</f>
        <v>3</v>
      </c>
      <c r="M5" s="34" t="str">
        <f t="shared" ca="1" si="3"/>
        <v>RawData!$AI$56:$AI$58</v>
      </c>
      <c r="N5" s="259" t="str">
        <f t="shared" ca="1" si="4"/>
        <v>#RawData!$AI$56:$AI$58</v>
      </c>
    </row>
    <row r="6" spans="1:20">
      <c r="A6" s="34" t="str">
        <f t="shared" si="0"/>
        <v>RawMaterialsManganese (Sulfate)Sub-Catergory Total</v>
      </c>
      <c r="B6" s="34" t="s">
        <v>79</v>
      </c>
      <c r="C6" s="34" t="s">
        <v>37</v>
      </c>
      <c r="D6" s="21" t="s">
        <v>574</v>
      </c>
      <c r="E6" s="34" t="s">
        <v>330</v>
      </c>
      <c r="F6" s="34" t="s">
        <v>417</v>
      </c>
      <c r="G6" s="34">
        <v>0</v>
      </c>
      <c r="H6" s="520">
        <f t="shared" si="1"/>
        <v>0.2</v>
      </c>
      <c r="I6" s="531">
        <f>Weighting!E15</f>
        <v>0.2</v>
      </c>
      <c r="K6" s="34">
        <f t="shared" si="2"/>
        <v>17</v>
      </c>
      <c r="L6" s="34">
        <f>COUNTIFS($AH55:$AH$115,C6)</f>
        <v>3</v>
      </c>
      <c r="M6" s="34" t="str">
        <f t="shared" ca="1" si="3"/>
        <v>RawData!$AI$68:$AI$70</v>
      </c>
      <c r="N6" s="259" t="str">
        <f t="shared" ca="1" si="4"/>
        <v>#RawData!$AI$68:$AI$70</v>
      </c>
    </row>
    <row r="7" spans="1:20">
      <c r="A7" s="34" t="str">
        <f t="shared" si="0"/>
        <v>RawMaterialsNickel (Sulfate)Sub-Catergory Total</v>
      </c>
      <c r="B7" s="34" t="s">
        <v>79</v>
      </c>
      <c r="C7" s="34" t="s">
        <v>35</v>
      </c>
      <c r="D7" s="21" t="s">
        <v>574</v>
      </c>
      <c r="E7" s="34" t="s">
        <v>331</v>
      </c>
      <c r="F7" s="34" t="s">
        <v>417</v>
      </c>
      <c r="G7" s="34">
        <v>0</v>
      </c>
      <c r="H7" s="520">
        <f t="shared" si="1"/>
        <v>0.2</v>
      </c>
      <c r="I7" s="531">
        <f>Weighting!E16</f>
        <v>0.2</v>
      </c>
      <c r="K7" s="34">
        <f t="shared" si="2"/>
        <v>9</v>
      </c>
      <c r="L7" s="34">
        <f>COUNTIFS($AH56:$AH$115,C7)</f>
        <v>3</v>
      </c>
      <c r="M7" s="34" t="str">
        <f t="shared" ca="1" si="3"/>
        <v>RawData!$AI$60:$AI$62</v>
      </c>
      <c r="N7" s="259" t="str">
        <f t="shared" ca="1" si="4"/>
        <v>#RawData!$AI$60:$AI$62</v>
      </c>
    </row>
    <row r="8" spans="1:20">
      <c r="A8" s="34" t="str">
        <f t="shared" si="0"/>
        <v>BatteryManufacturingAnode Materials</v>
      </c>
      <c r="B8" s="34" t="s">
        <v>445</v>
      </c>
      <c r="C8" s="34" t="s">
        <v>357</v>
      </c>
      <c r="D8" s="34" t="s">
        <v>575</v>
      </c>
      <c r="E8" s="34" t="s">
        <v>364</v>
      </c>
      <c r="G8" s="34">
        <v>0</v>
      </c>
      <c r="H8" s="520">
        <f t="shared" si="1"/>
        <v>0.14285714285714288</v>
      </c>
      <c r="I8" s="531">
        <f>Weighting!E18</f>
        <v>0.14285714285714285</v>
      </c>
      <c r="K8" s="34">
        <f t="shared" si="2"/>
        <v>25</v>
      </c>
      <c r="L8" s="34">
        <f>COUNTIFS($AH57:$AH$115,C8)</f>
        <v>1</v>
      </c>
      <c r="M8" s="34" t="str">
        <f t="shared" ca="1" si="3"/>
        <v>RawData!$AI$76:$AI$76</v>
      </c>
      <c r="N8" s="259" t="str">
        <f t="shared" ca="1" si="4"/>
        <v>#RawData!$AI$76:$AI$76</v>
      </c>
      <c r="R8" s="34" t="s">
        <v>357</v>
      </c>
      <c r="S8" s="34" t="s">
        <v>575</v>
      </c>
      <c r="T8" s="34" t="s">
        <v>364</v>
      </c>
    </row>
    <row r="9" spans="1:20">
      <c r="A9" s="34" t="str">
        <f t="shared" si="0"/>
        <v>BatteryManufacturingCathode Materials</v>
      </c>
      <c r="B9" s="34" t="s">
        <v>445</v>
      </c>
      <c r="C9" s="34" t="s">
        <v>447</v>
      </c>
      <c r="D9" s="34" t="s">
        <v>575</v>
      </c>
      <c r="E9" s="34" t="s">
        <v>356</v>
      </c>
      <c r="G9" s="34">
        <v>0</v>
      </c>
      <c r="H9" s="520">
        <f t="shared" si="1"/>
        <v>0.14285714285714288</v>
      </c>
      <c r="I9" s="531">
        <f>Weighting!E19</f>
        <v>0.14285714285714285</v>
      </c>
      <c r="K9" s="34">
        <f t="shared" si="2"/>
        <v>24</v>
      </c>
      <c r="L9" s="34">
        <f>COUNTIFS($AH58:$AH$115,C9)</f>
        <v>1</v>
      </c>
      <c r="M9" s="34" t="str">
        <f t="shared" ca="1" si="3"/>
        <v>RawData!$AI$75:$AI$75</v>
      </c>
      <c r="N9" s="259" t="str">
        <f t="shared" ca="1" si="4"/>
        <v>#RawData!$AI$75:$AI$75</v>
      </c>
      <c r="R9" s="34" t="s">
        <v>447</v>
      </c>
      <c r="S9" s="34" t="s">
        <v>575</v>
      </c>
      <c r="T9" s="34" t="s">
        <v>356</v>
      </c>
    </row>
    <row r="10" spans="1:20">
      <c r="A10" s="34" t="str">
        <f t="shared" si="0"/>
        <v>BatteryManufacturingLithium-Based Cells</v>
      </c>
      <c r="B10" s="34" t="s">
        <v>445</v>
      </c>
      <c r="C10" s="34" t="s">
        <v>500</v>
      </c>
      <c r="D10" s="34" t="s">
        <v>575</v>
      </c>
      <c r="E10" s="34" t="s">
        <v>363</v>
      </c>
      <c r="G10" s="34">
        <v>0</v>
      </c>
      <c r="H10" s="520">
        <f t="shared" si="1"/>
        <v>0.14285714285714288</v>
      </c>
      <c r="I10" s="531">
        <f>Weighting!E20</f>
        <v>0.14285714285714285</v>
      </c>
      <c r="K10" s="34">
        <f t="shared" si="2"/>
        <v>27</v>
      </c>
      <c r="L10" s="34">
        <f>COUNTIFS($AH59:$AH$115,C10)</f>
        <v>1</v>
      </c>
      <c r="M10" s="34" t="str">
        <f t="shared" ca="1" si="3"/>
        <v>RawData!$AI$78:$AI$78</v>
      </c>
      <c r="N10" s="259" t="str">
        <f t="shared" ca="1" si="4"/>
        <v>#RawData!$AI$78:$AI$78</v>
      </c>
      <c r="R10" s="34" t="s">
        <v>500</v>
      </c>
      <c r="S10" s="34" t="s">
        <v>575</v>
      </c>
      <c r="T10" s="34" t="s">
        <v>363</v>
      </c>
    </row>
    <row r="11" spans="1:20">
      <c r="A11" s="34" t="str">
        <f t="shared" si="0"/>
        <v>BatteryManufacturingDisassembly and Recycling</v>
      </c>
      <c r="B11" s="34" t="s">
        <v>445</v>
      </c>
      <c r="C11" s="34" t="s">
        <v>360</v>
      </c>
      <c r="D11" s="34" t="s">
        <v>575</v>
      </c>
      <c r="E11" s="34" t="s">
        <v>367</v>
      </c>
      <c r="G11" s="34">
        <v>0</v>
      </c>
      <c r="H11" s="520">
        <f t="shared" si="1"/>
        <v>0.14285714285714288</v>
      </c>
      <c r="I11" s="531">
        <f>Weighting!E21</f>
        <v>0.14285714285714285</v>
      </c>
      <c r="K11" s="34">
        <f t="shared" si="2"/>
        <v>28</v>
      </c>
      <c r="L11" s="34">
        <f>COUNTIFS($AH60:$AH$115,C11)</f>
        <v>1</v>
      </c>
      <c r="M11" s="34" t="str">
        <f t="shared" ca="1" si="3"/>
        <v>RawData!$AI$79:$AI$79</v>
      </c>
      <c r="N11" s="259" t="str">
        <f t="shared" ca="1" si="4"/>
        <v>#RawData!$AI$79:$AI$79</v>
      </c>
      <c r="R11" s="34" t="s">
        <v>360</v>
      </c>
      <c r="S11" s="34" t="s">
        <v>575</v>
      </c>
      <c r="T11" s="34" t="s">
        <v>367</v>
      </c>
    </row>
    <row r="12" spans="1:20">
      <c r="A12" s="34" t="str">
        <f t="shared" si="0"/>
        <v>BatteryManufacturingElectrolyte (Excludes Solvent)</v>
      </c>
      <c r="B12" s="34" t="s">
        <v>445</v>
      </c>
      <c r="C12" s="21" t="s">
        <v>60</v>
      </c>
      <c r="D12" s="34" t="s">
        <v>575</v>
      </c>
      <c r="E12" s="34" t="s">
        <v>365</v>
      </c>
      <c r="G12" s="34">
        <v>0</v>
      </c>
      <c r="H12" s="520">
        <f t="shared" si="1"/>
        <v>0.14285714285714288</v>
      </c>
      <c r="I12" s="531">
        <f>Weighting!E22</f>
        <v>0.14285714285714285</v>
      </c>
      <c r="K12" s="34">
        <f t="shared" si="2"/>
        <v>23</v>
      </c>
      <c r="L12" s="34">
        <f>COUNTIFS($AH61:$AH$115,C12)</f>
        <v>1</v>
      </c>
      <c r="M12" s="34" t="str">
        <f t="shared" ca="1" si="3"/>
        <v>RawData!$AI$74:$AI$74</v>
      </c>
      <c r="N12" s="259" t="str">
        <f t="shared" ca="1" si="4"/>
        <v>#RawData!$AI$74:$AI$74</v>
      </c>
      <c r="R12" s="34" t="s">
        <v>60</v>
      </c>
      <c r="S12" s="34" t="s">
        <v>575</v>
      </c>
      <c r="T12" s="34" t="s">
        <v>365</v>
      </c>
    </row>
    <row r="13" spans="1:20">
      <c r="A13" s="34" t="str">
        <f t="shared" si="0"/>
        <v>BatteryManufacturingElectrolyte Salts</v>
      </c>
      <c r="B13" s="34" t="s">
        <v>445</v>
      </c>
      <c r="C13" s="21" t="s">
        <v>448</v>
      </c>
      <c r="D13" s="34" t="s">
        <v>575</v>
      </c>
      <c r="E13" s="34" t="s">
        <v>358</v>
      </c>
      <c r="G13" s="34">
        <v>0</v>
      </c>
      <c r="H13" s="520">
        <f t="shared" si="1"/>
        <v>0.14285714285714288</v>
      </c>
      <c r="I13" s="531">
        <f>Weighting!E23</f>
        <v>0.14285714285714285</v>
      </c>
      <c r="K13" s="34">
        <f t="shared" si="2"/>
        <v>22</v>
      </c>
      <c r="L13" s="34">
        <f>COUNTIFS($AH62:$AH$115,C13)</f>
        <v>1</v>
      </c>
      <c r="M13" s="34" t="str">
        <f t="shared" ca="1" si="3"/>
        <v>RawData!$AI$73:$AI$73</v>
      </c>
      <c r="N13" s="259" t="str">
        <f t="shared" ca="1" si="4"/>
        <v>#RawData!$AI$73:$AI$73</v>
      </c>
      <c r="R13" s="34" t="s">
        <v>448</v>
      </c>
      <c r="S13" s="34" t="s">
        <v>575</v>
      </c>
      <c r="T13" s="34" t="s">
        <v>358</v>
      </c>
    </row>
    <row r="14" spans="1:20">
      <c r="A14" s="34" t="str">
        <f t="shared" si="0"/>
        <v>BatteryManufacturingSeparator/Membrane</v>
      </c>
      <c r="B14" s="34" t="s">
        <v>445</v>
      </c>
      <c r="C14" s="34" t="s">
        <v>271</v>
      </c>
      <c r="D14" s="34" t="s">
        <v>575</v>
      </c>
      <c r="E14" s="34" t="s">
        <v>366</v>
      </c>
      <c r="G14" s="34">
        <v>0</v>
      </c>
      <c r="H14" s="520">
        <f t="shared" si="1"/>
        <v>0.14285714285714288</v>
      </c>
      <c r="I14" s="531">
        <f>Weighting!E24</f>
        <v>0.14285714285714285</v>
      </c>
      <c r="K14" s="34" t="e">
        <f t="shared" si="2"/>
        <v>#N/A</v>
      </c>
      <c r="L14" s="34">
        <f>COUNTIFS($AH63:$AH$115,C14)</f>
        <v>0</v>
      </c>
      <c r="M14" s="34" t="e">
        <f t="shared" ca="1" si="3"/>
        <v>#N/A</v>
      </c>
      <c r="N14" s="259" t="e">
        <f t="shared" ca="1" si="4"/>
        <v>#N/A</v>
      </c>
      <c r="R14" s="34" t="s">
        <v>63</v>
      </c>
      <c r="S14" s="34" t="s">
        <v>575</v>
      </c>
      <c r="T14" s="34" t="s">
        <v>366</v>
      </c>
    </row>
    <row r="15" spans="1:20">
      <c r="A15" s="34" t="str">
        <f t="shared" si="0"/>
        <v xml:space="preserve">DownstreamDemandAggregated Demand </v>
      </c>
      <c r="B15" s="34" t="s">
        <v>449</v>
      </c>
      <c r="C15" s="21" t="s">
        <v>503</v>
      </c>
      <c r="D15" s="21" t="s">
        <v>576</v>
      </c>
      <c r="E15" s="34" t="s">
        <v>403</v>
      </c>
      <c r="G15" s="34">
        <v>0</v>
      </c>
      <c r="H15" s="520">
        <f t="shared" si="1"/>
        <v>0.5</v>
      </c>
      <c r="I15" s="531">
        <f>Weighting!E26</f>
        <v>0.5</v>
      </c>
      <c r="K15" s="34">
        <f t="shared" si="2"/>
        <v>57</v>
      </c>
      <c r="L15" s="34">
        <f>COUNTIFS($AH64:$AH$115,C15)</f>
        <v>6</v>
      </c>
      <c r="M15" s="34" t="str">
        <f t="shared" ca="1" si="3"/>
        <v>RawData!$AI$108:$AI$113</v>
      </c>
      <c r="N15" s="259" t="str">
        <f t="shared" ca="1" si="4"/>
        <v>#RawData!$AI$108:$AI$113</v>
      </c>
    </row>
    <row r="16" spans="1:20">
      <c r="A16" s="34" t="str">
        <f t="shared" si="0"/>
        <v xml:space="preserve">DownstreamDemandRegional Demand </v>
      </c>
      <c r="B16" s="34" t="s">
        <v>449</v>
      </c>
      <c r="C16" s="34" t="s">
        <v>168</v>
      </c>
      <c r="D16" s="21" t="s">
        <v>576</v>
      </c>
      <c r="E16" s="34" t="s">
        <v>404</v>
      </c>
      <c r="G16" s="34">
        <v>0</v>
      </c>
      <c r="H16" s="520">
        <f t="shared" si="1"/>
        <v>0.5</v>
      </c>
      <c r="I16" s="531">
        <f>Weighting!E27</f>
        <v>0.5</v>
      </c>
      <c r="K16" s="34">
        <f t="shared" si="2"/>
        <v>63</v>
      </c>
      <c r="L16" s="34">
        <f>COUNTIFS($AH65:$AH$115,C16)</f>
        <v>1</v>
      </c>
      <c r="M16" s="34" t="str">
        <f t="shared" ca="1" si="3"/>
        <v>RawData!$AI$114:$AI$114</v>
      </c>
      <c r="N16" s="259" t="str">
        <f t="shared" ca="1" si="4"/>
        <v>#RawData!$AI$114:$AI$114</v>
      </c>
    </row>
    <row r="17" spans="1:14">
      <c r="A17" s="34" t="str">
        <f t="shared" si="0"/>
        <v>ESGEnvironmentalSub-Catergory Total</v>
      </c>
      <c r="B17" s="34" t="s">
        <v>406</v>
      </c>
      <c r="C17" s="34" t="s">
        <v>408</v>
      </c>
      <c r="D17" s="34" t="s">
        <v>406</v>
      </c>
      <c r="E17" s="34" t="s">
        <v>408</v>
      </c>
      <c r="F17" s="34" t="s">
        <v>417</v>
      </c>
      <c r="G17" s="34">
        <v>1</v>
      </c>
      <c r="H17" s="520">
        <f t="shared" si="1"/>
        <v>0.33333333333333331</v>
      </c>
      <c r="I17" s="531">
        <f>Weighting!E29</f>
        <v>0.33333333333333331</v>
      </c>
      <c r="K17" s="34">
        <f t="shared" si="2"/>
        <v>30</v>
      </c>
      <c r="L17" s="34">
        <f>COUNTIFS($AH66:$AH$115,C17)</f>
        <v>6</v>
      </c>
      <c r="M17" s="34" t="str">
        <f t="shared" ca="1" si="3"/>
        <v>RawData!$AI$81:$AI$86</v>
      </c>
      <c r="N17" s="259" t="str">
        <f t="shared" ca="1" si="4"/>
        <v>#RawData!$AI$81:$AI$86</v>
      </c>
    </row>
    <row r="18" spans="1:14">
      <c r="A18" s="34" t="str">
        <f t="shared" si="0"/>
        <v>ESGSocialSub-Catergory Total</v>
      </c>
      <c r="B18" s="34" t="s">
        <v>406</v>
      </c>
      <c r="C18" s="34" t="s">
        <v>409</v>
      </c>
      <c r="D18" s="34" t="s">
        <v>406</v>
      </c>
      <c r="E18" s="34" t="s">
        <v>409</v>
      </c>
      <c r="F18" s="34" t="s">
        <v>417</v>
      </c>
      <c r="G18" s="34">
        <v>1</v>
      </c>
      <c r="H18" s="520">
        <f t="shared" si="1"/>
        <v>0.33333333333333331</v>
      </c>
      <c r="I18" s="531">
        <f>Weighting!E30</f>
        <v>0.33333333333333331</v>
      </c>
      <c r="K18" s="34">
        <f t="shared" si="2"/>
        <v>37</v>
      </c>
      <c r="L18" s="34">
        <f>COUNTIFS($AH67:$AH$115,C18)</f>
        <v>2</v>
      </c>
      <c r="M18" s="34" t="str">
        <f t="shared" ca="1" si="3"/>
        <v>RawData!$AI$88:$AI$89</v>
      </c>
      <c r="N18" s="259" t="str">
        <f t="shared" ca="1" si="4"/>
        <v>#RawData!$AI$88:$AI$89</v>
      </c>
    </row>
    <row r="19" spans="1:14">
      <c r="A19" s="34" t="str">
        <f t="shared" si="0"/>
        <v>ESGGovernanceSub-Catergory Total</v>
      </c>
      <c r="B19" s="34" t="s">
        <v>406</v>
      </c>
      <c r="C19" s="34" t="s">
        <v>410</v>
      </c>
      <c r="D19" s="34" t="s">
        <v>406</v>
      </c>
      <c r="E19" s="34" t="s">
        <v>410</v>
      </c>
      <c r="F19" s="34" t="s">
        <v>417</v>
      </c>
      <c r="G19" s="34">
        <v>1</v>
      </c>
      <c r="H19" s="520">
        <f t="shared" si="1"/>
        <v>0.33333333333333331</v>
      </c>
      <c r="I19" s="531">
        <f>Weighting!E31</f>
        <v>0.33333333333333331</v>
      </c>
      <c r="K19" s="34">
        <f t="shared" si="2"/>
        <v>40</v>
      </c>
      <c r="L19" s="34">
        <f>COUNTIFS($AH68:$AH$115,C19)</f>
        <v>2</v>
      </c>
      <c r="M19" s="34" t="str">
        <f t="shared" ca="1" si="3"/>
        <v>RawData!$AI$91:$AI$92</v>
      </c>
      <c r="N19" s="259" t="str">
        <f t="shared" ca="1" si="4"/>
        <v>#RawData!$AI$91:$AI$92</v>
      </c>
    </row>
    <row r="20" spans="1:14">
      <c r="A20" s="34" t="str">
        <f t="shared" si="0"/>
        <v>IIIIndustrySub-Catergory Total</v>
      </c>
      <c r="B20" s="34" t="s">
        <v>325</v>
      </c>
      <c r="C20" s="34" t="s">
        <v>424</v>
      </c>
      <c r="D20" s="34" t="s">
        <v>325</v>
      </c>
      <c r="E20" s="34" t="s">
        <v>424</v>
      </c>
      <c r="F20" s="34" t="s">
        <v>417</v>
      </c>
      <c r="G20" s="34">
        <v>1</v>
      </c>
      <c r="H20" s="520">
        <f t="shared" si="1"/>
        <v>0.33333333333333331</v>
      </c>
      <c r="I20" s="531">
        <f>Weighting!E33</f>
        <v>0.33333333333333331</v>
      </c>
      <c r="K20" s="34">
        <f t="shared" si="2"/>
        <v>44</v>
      </c>
      <c r="L20" s="34">
        <f>COUNTIFS($AH69:$AH$115,C20)</f>
        <v>4</v>
      </c>
      <c r="M20" s="34" t="str">
        <f t="shared" ca="1" si="3"/>
        <v>RawData!$AI$95:$AI$98</v>
      </c>
      <c r="N20" s="259" t="str">
        <f t="shared" ca="1" si="4"/>
        <v>#RawData!$AI$95:$AI$98</v>
      </c>
    </row>
    <row r="21" spans="1:14">
      <c r="A21" s="34" t="str">
        <f t="shared" si="0"/>
        <v>IIIInfrastructureSub-Catergory Total</v>
      </c>
      <c r="B21" s="34" t="s">
        <v>325</v>
      </c>
      <c r="C21" s="34" t="s">
        <v>121</v>
      </c>
      <c r="D21" s="34" t="s">
        <v>325</v>
      </c>
      <c r="E21" s="34" t="s">
        <v>121</v>
      </c>
      <c r="F21" s="34" t="s">
        <v>417</v>
      </c>
      <c r="G21" s="34">
        <v>1</v>
      </c>
      <c r="H21" s="520">
        <f t="shared" si="1"/>
        <v>0.33333333333333331</v>
      </c>
      <c r="I21" s="531">
        <f>Weighting!E34</f>
        <v>0.33333333333333331</v>
      </c>
      <c r="K21" s="34">
        <f t="shared" si="2"/>
        <v>49</v>
      </c>
      <c r="L21" s="34">
        <f>COUNTIFS($AH70:$AH$115,C21)</f>
        <v>2</v>
      </c>
      <c r="M21" s="34" t="str">
        <f t="shared" ca="1" si="3"/>
        <v>RawData!$AI$100:$AI$101</v>
      </c>
      <c r="N21" s="259" t="str">
        <f t="shared" ca="1" si="4"/>
        <v>#RawData!$AI$100:$AI$101</v>
      </c>
    </row>
    <row r="22" spans="1:14">
      <c r="A22" s="34" t="str">
        <f t="shared" si="0"/>
        <v>IIIInnovationSub-Catergory Total</v>
      </c>
      <c r="B22" s="34" t="s">
        <v>325</v>
      </c>
      <c r="C22" s="34" t="s">
        <v>117</v>
      </c>
      <c r="D22" s="34" t="s">
        <v>325</v>
      </c>
      <c r="E22" s="34" t="s">
        <v>117</v>
      </c>
      <c r="F22" s="34" t="s">
        <v>417</v>
      </c>
      <c r="G22" s="34">
        <v>1</v>
      </c>
      <c r="H22" s="520">
        <f t="shared" si="1"/>
        <v>0.33333333333333331</v>
      </c>
      <c r="I22" s="531">
        <f>Weighting!E35</f>
        <v>0.33333333333333331</v>
      </c>
      <c r="K22" s="34">
        <f t="shared" si="2"/>
        <v>52</v>
      </c>
      <c r="L22" s="34">
        <f>COUNTIFS($AH71:$AH$115,C22)</f>
        <v>3</v>
      </c>
      <c r="M22" s="34" t="str">
        <f t="shared" ca="1" si="3"/>
        <v>RawData!$AI$103:$AI$105</v>
      </c>
      <c r="N22" s="259" t="str">
        <f t="shared" ca="1" si="4"/>
        <v>#RawData!$AI$103:$AI$105</v>
      </c>
    </row>
    <row r="26" spans="1:14">
      <c r="L26" s="546" t="s">
        <v>502</v>
      </c>
      <c r="M26" s="546"/>
      <c r="N26" s="546"/>
    </row>
    <row r="27" spans="1:14">
      <c r="B27" s="34" t="s">
        <v>119</v>
      </c>
      <c r="D27" s="34" t="s">
        <v>451</v>
      </c>
      <c r="E27" s="34" t="s">
        <v>443</v>
      </c>
      <c r="F27" s="21" t="s">
        <v>439</v>
      </c>
      <c r="G27" s="564" t="s">
        <v>598</v>
      </c>
      <c r="L27" s="547" t="s">
        <v>119</v>
      </c>
      <c r="M27" s="134" t="str">
        <f>B36&amp;" "&amp;B37</f>
        <v>Argentina 2022</v>
      </c>
      <c r="N27" s="134" t="str">
        <f>B38&amp;" "&amp;B39</f>
        <v>Argentina 2023</v>
      </c>
    </row>
    <row r="28" spans="1:14">
      <c r="B28" s="34" t="s">
        <v>79</v>
      </c>
      <c r="C28" s="21" t="s">
        <v>326</v>
      </c>
      <c r="D28" s="521">
        <f>IF(E28="",20%,E28/$E$33)</f>
        <v>0.2</v>
      </c>
      <c r="E28" s="531">
        <f>Weighting!C12</f>
        <v>0.2</v>
      </c>
      <c r="F28" s="34">
        <f>MATCH(B28,$B$3:$B$22,0)</f>
        <v>1</v>
      </c>
      <c r="G28" s="34">
        <f t="shared" ref="G28:G31" si="5">COUNTIFS($B$3:$B$22,B28)</f>
        <v>5</v>
      </c>
      <c r="H28" s="34" t="str">
        <f ca="1">$F$1&amp;"!"&amp;ADDRESS(ROW($C$2)+F28,COLUMN($C$2))&amp;":"&amp;ADDRESS(ROW($C$2)+F28+G28-1,COLUMN($C$2))</f>
        <v>RawData!$C$3:$C$7</v>
      </c>
      <c r="I28" s="259" t="str">
        <f ca="1">HYPERLINK("#"&amp;H28)</f>
        <v>#RawData!$C$3:$C$7</v>
      </c>
      <c r="L28" s="278" t="s">
        <v>79</v>
      </c>
      <c r="M28" s="278">
        <f ca="1">VLOOKUP($L28&amp;"Total",$A$52:$AC$115,COLUMN(U51),FALSE)</f>
        <v>11</v>
      </c>
      <c r="N28" s="278">
        <f ca="1">VLOOKUP($L28&amp;"Total",$A$52:$AC$115,COLUMN(Z51),FALSE)</f>
        <v>14</v>
      </c>
    </row>
    <row r="29" spans="1:14">
      <c r="B29" s="34" t="s">
        <v>445</v>
      </c>
      <c r="C29" s="34" t="s">
        <v>351</v>
      </c>
      <c r="D29" s="521">
        <f t="shared" ref="D29:D32" si="6">IF(E29="",20%,E29/$E$33)</f>
        <v>0.2</v>
      </c>
      <c r="E29" s="531">
        <f>Weighting!C18</f>
        <v>0.2</v>
      </c>
      <c r="F29" s="34">
        <f t="shared" ref="F29:F32" si="7">MATCH(B29,$B$3:$B$22,0)</f>
        <v>6</v>
      </c>
      <c r="G29" s="34">
        <f t="shared" si="5"/>
        <v>7</v>
      </c>
      <c r="H29" s="34" t="str">
        <f t="shared" ref="H29:H32" ca="1" si="8">$F$1&amp;"!"&amp;ADDRESS(ROW($C$2)+F29,COLUMN($C$2))&amp;":"&amp;ADDRESS(ROW($C$2)+F29+G29-1,COLUMN($C$2))</f>
        <v>RawData!$C$8:$C$14</v>
      </c>
      <c r="I29" s="259" t="str">
        <f t="shared" ref="I29:I32" ca="1" si="9">HYPERLINK("#"&amp;H29)</f>
        <v>#RawData!$C$8:$C$14</v>
      </c>
      <c r="L29" s="278" t="s">
        <v>449</v>
      </c>
      <c r="M29" s="278">
        <f ca="1">VLOOKUP($L29&amp;"Total",$A$52:$AC$115,COLUMN(U52),FALSE)</f>
        <v>26</v>
      </c>
      <c r="N29" s="278">
        <f ca="1">VLOOKUP($L29&amp;"Total",$A$52:$AC$115,COLUMN(Z52),FALSE)</f>
        <v>26</v>
      </c>
    </row>
    <row r="30" spans="1:14">
      <c r="B30" s="34" t="s">
        <v>449</v>
      </c>
      <c r="C30" s="21" t="s">
        <v>398</v>
      </c>
      <c r="D30" s="521">
        <f t="shared" si="6"/>
        <v>0.2</v>
      </c>
      <c r="E30" s="531">
        <f>Weighting!C26</f>
        <v>0.2</v>
      </c>
      <c r="F30" s="34">
        <f t="shared" si="7"/>
        <v>13</v>
      </c>
      <c r="G30" s="34">
        <f t="shared" si="5"/>
        <v>2</v>
      </c>
      <c r="H30" s="34" t="str">
        <f ca="1">$F$1&amp;"!"&amp;ADDRESS(ROW($C$2)+F30,COLUMN($C$2))&amp;":"&amp;ADDRESS(ROW($C$2)+F30+G30-1,COLUMN($C$2))</f>
        <v>RawData!$C$15:$C$16</v>
      </c>
      <c r="I30" s="259" t="str">
        <f t="shared" ca="1" si="9"/>
        <v>#RawData!$C$15:$C$16</v>
      </c>
      <c r="L30" s="278" t="s">
        <v>325</v>
      </c>
      <c r="M30" s="278">
        <f ca="1">VLOOKUP($L30&amp;"Total",$A$52:$AC$115,COLUMN(U53),FALSE)</f>
        <v>25</v>
      </c>
      <c r="N30" s="278">
        <f ca="1">VLOOKUP($L30&amp;"Total",$A$52:$AC$115,COLUMN(Z53),FALSE)</f>
        <v>27</v>
      </c>
    </row>
    <row r="31" spans="1:14">
      <c r="B31" s="34" t="s">
        <v>406</v>
      </c>
      <c r="C31" s="34" t="s">
        <v>406</v>
      </c>
      <c r="D31" s="521">
        <f t="shared" si="6"/>
        <v>0.2</v>
      </c>
      <c r="E31" s="531">
        <f>Weighting!C29</f>
        <v>0.2</v>
      </c>
      <c r="F31" s="34">
        <f t="shared" si="7"/>
        <v>15</v>
      </c>
      <c r="G31" s="34">
        <f t="shared" si="5"/>
        <v>3</v>
      </c>
      <c r="H31" s="34" t="str">
        <f t="shared" ca="1" si="8"/>
        <v>RawData!$C$17:$C$19</v>
      </c>
      <c r="I31" s="259" t="str">
        <f t="shared" ca="1" si="9"/>
        <v>#RawData!$C$17:$C$19</v>
      </c>
      <c r="L31" s="278" t="s">
        <v>406</v>
      </c>
      <c r="M31" s="278">
        <f ca="1">VLOOKUP($L31&amp;"Total",$A$52:$AC$115,COLUMN(U54),FALSE)</f>
        <v>18</v>
      </c>
      <c r="N31" s="278">
        <f ca="1">VLOOKUP($L31&amp;"Total",$A$52:$AC$115,COLUMN(Z54),FALSE)</f>
        <v>18</v>
      </c>
    </row>
    <row r="32" spans="1:14">
      <c r="B32" s="34" t="s">
        <v>325</v>
      </c>
      <c r="C32" s="34" t="s">
        <v>325</v>
      </c>
      <c r="D32" s="521">
        <f t="shared" si="6"/>
        <v>0.2</v>
      </c>
      <c r="E32" s="531">
        <f>Weighting!C33</f>
        <v>0.2</v>
      </c>
      <c r="F32" s="34">
        <f t="shared" si="7"/>
        <v>18</v>
      </c>
      <c r="G32" s="34">
        <f>COUNTIFS($B$3:$B$22,B32)</f>
        <v>3</v>
      </c>
      <c r="H32" s="34" t="str">
        <f t="shared" ca="1" si="8"/>
        <v>RawData!$C$20:$C$22</v>
      </c>
      <c r="I32" s="259" t="str">
        <f t="shared" ca="1" si="9"/>
        <v>#RawData!$C$20:$C$22</v>
      </c>
      <c r="L32" s="548" t="s">
        <v>445</v>
      </c>
      <c r="M32" s="548">
        <f ca="1">VLOOKUP($L32&amp;"Total",$A$52:$AC$115,COLUMN(U55),FALSE)</f>
        <v>18</v>
      </c>
      <c r="N32" s="278">
        <f ca="1">VLOOKUP($L32&amp;"Total",$A$52:$AC$115,COLUMN(Z55),FALSE)</f>
        <v>20</v>
      </c>
    </row>
    <row r="33" spans="1:32">
      <c r="E33" s="521">
        <f>SUM(E28:E32)</f>
        <v>1</v>
      </c>
    </row>
    <row r="34" spans="1:32">
      <c r="A34" s="23" t="s">
        <v>599</v>
      </c>
    </row>
    <row r="35" spans="1:32">
      <c r="B35" s="564" t="s">
        <v>581</v>
      </c>
      <c r="C35" s="564" t="s">
        <v>439</v>
      </c>
      <c r="E35" s="21" t="s">
        <v>22</v>
      </c>
      <c r="F35" s="21" t="s">
        <v>582</v>
      </c>
    </row>
    <row r="36" spans="1:32">
      <c r="A36" s="21" t="s">
        <v>578</v>
      </c>
      <c r="B36" s="34" t="str">
        <f>Weighting!C6</f>
        <v>Argentina</v>
      </c>
      <c r="C36" s="34">
        <f ca="1">MATCH(B36,dynamicRange_Countries,0)</f>
        <v>18</v>
      </c>
      <c r="E36" s="34">
        <v>2022</v>
      </c>
      <c r="F36" s="34">
        <v>0</v>
      </c>
    </row>
    <row r="37" spans="1:32">
      <c r="A37" s="21" t="s">
        <v>577</v>
      </c>
      <c r="B37" s="34">
        <f>Weighting!C7</f>
        <v>2022</v>
      </c>
      <c r="C37" s="34">
        <f>VLOOKUP(B37,$E$36:$F$37,2,FALSE)</f>
        <v>0</v>
      </c>
      <c r="E37" s="34">
        <v>2023</v>
      </c>
      <c r="F37" s="34">
        <v>1</v>
      </c>
    </row>
    <row r="38" spans="1:32">
      <c r="A38" s="21" t="s">
        <v>579</v>
      </c>
      <c r="B38" s="34" t="str">
        <f>Weighting!D6</f>
        <v>Argentina</v>
      </c>
      <c r="C38" s="34">
        <f ca="1">MATCH(B38,dynamicRange_Countries,0)</f>
        <v>18</v>
      </c>
      <c r="V38" s="34">
        <v>30</v>
      </c>
    </row>
    <row r="39" spans="1:32">
      <c r="A39" s="21" t="s">
        <v>580</v>
      </c>
      <c r="B39" s="34">
        <f>Weighting!D7</f>
        <v>2023</v>
      </c>
      <c r="C39" s="34">
        <f>VLOOKUP(B39,$E$36:$F$37,2,FALSE)</f>
        <v>1</v>
      </c>
    </row>
    <row r="41" spans="1:32">
      <c r="A41" s="23" t="s">
        <v>600</v>
      </c>
      <c r="B41" s="21" t="s">
        <v>620</v>
      </c>
      <c r="C41" s="21" t="s">
        <v>621</v>
      </c>
      <c r="D41" s="21" t="s">
        <v>622</v>
      </c>
    </row>
    <row r="42" spans="1:32">
      <c r="A42" s="564" t="s">
        <v>119</v>
      </c>
      <c r="B42" s="34" t="str">
        <f>Metrics!C6</f>
        <v>Raw materials</v>
      </c>
    </row>
    <row r="43" spans="1:32">
      <c r="A43" s="564" t="s">
        <v>602</v>
      </c>
      <c r="B43" s="34" t="str">
        <f>Metrics!C7</f>
        <v>Lithium</v>
      </c>
      <c r="C43" s="34" t="str">
        <f ca="1">VLOOKUP(B42,$B$28:$I$32,7,FALSE)</f>
        <v>RawData!$C$3:$C$7</v>
      </c>
      <c r="D43" s="34">
        <f ca="1">MATCH(B43,INDIRECT(C43),0)</f>
        <v>3</v>
      </c>
      <c r="E43" s="34" t="str">
        <f ca="1">IF(ISERROR(D43),INDEX(INDIRECT(C43),1),"")</f>
        <v/>
      </c>
      <c r="V43" s="21" t="s">
        <v>587</v>
      </c>
      <c r="W43" s="21" t="s">
        <v>588</v>
      </c>
      <c r="X43" s="21" t="s">
        <v>589</v>
      </c>
      <c r="AA43" s="21" t="s">
        <v>587</v>
      </c>
      <c r="AB43" s="21" t="s">
        <v>588</v>
      </c>
      <c r="AC43" s="21" t="s">
        <v>589</v>
      </c>
      <c r="AD43" s="21" t="s">
        <v>587</v>
      </c>
      <c r="AE43" s="21" t="s">
        <v>588</v>
      </c>
      <c r="AF43" s="21" t="s">
        <v>589</v>
      </c>
    </row>
    <row r="44" spans="1:32">
      <c r="A44" s="21" t="s">
        <v>507</v>
      </c>
      <c r="B44" s="34" t="str">
        <f>Metrics!C8</f>
        <v>Mined supply</v>
      </c>
      <c r="C44" s="34" t="str">
        <f ca="1">VLOOKUP(B43,$C$3:$M$22,11,FALSE)</f>
        <v>RawData!$AI$56:$AI$58</v>
      </c>
      <c r="D44" s="34">
        <f ca="1">MATCH(B44,INDIRECT(C44),0)</f>
        <v>2</v>
      </c>
      <c r="E44" s="34" t="str">
        <f ca="1">IF(ISERROR(D44),INDEX(INDIRECT(C44),1),"")</f>
        <v/>
      </c>
      <c r="S44" s="34" t="s">
        <v>590</v>
      </c>
      <c r="T44" s="21" t="s">
        <v>585</v>
      </c>
      <c r="U44" s="21" t="s">
        <v>586</v>
      </c>
      <c r="V44" s="21" t="s">
        <v>586</v>
      </c>
      <c r="W44" s="21" t="s">
        <v>585</v>
      </c>
      <c r="X44" s="21" t="s">
        <v>585</v>
      </c>
      <c r="Y44" s="21" t="s">
        <v>585</v>
      </c>
      <c r="Z44" s="21" t="s">
        <v>586</v>
      </c>
      <c r="AA44" s="21" t="s">
        <v>586</v>
      </c>
      <c r="AB44" s="21" t="s">
        <v>585</v>
      </c>
      <c r="AC44" s="21" t="s">
        <v>585</v>
      </c>
      <c r="AD44" s="21" t="s">
        <v>586</v>
      </c>
      <c r="AE44" s="21" t="s">
        <v>585</v>
      </c>
      <c r="AF44" s="21" t="s">
        <v>585</v>
      </c>
    </row>
    <row r="45" spans="1:32">
      <c r="A45" s="21" t="s">
        <v>22</v>
      </c>
      <c r="B45" s="34">
        <f>Metrics!C9</f>
        <v>2023</v>
      </c>
      <c r="C45" s="34">
        <f>VLOOKUP(B45,$E$36:$F$37,2,FALSE)</f>
        <v>1</v>
      </c>
      <c r="S45" s="34" t="s">
        <v>594</v>
      </c>
      <c r="T45" s="34">
        <v>0</v>
      </c>
      <c r="U45" s="34">
        <v>1</v>
      </c>
      <c r="V45" s="34">
        <v>1</v>
      </c>
      <c r="W45" s="34">
        <v>0</v>
      </c>
      <c r="X45" s="34">
        <v>0</v>
      </c>
      <c r="Y45" s="34">
        <v>0</v>
      </c>
      <c r="Z45" s="34">
        <v>1</v>
      </c>
      <c r="AA45" s="34">
        <v>1</v>
      </c>
      <c r="AB45" s="34">
        <v>0</v>
      </c>
      <c r="AC45" s="34">
        <v>0</v>
      </c>
      <c r="AD45" s="34">
        <v>1</v>
      </c>
      <c r="AE45" s="34">
        <v>0</v>
      </c>
      <c r="AF45" s="34">
        <v>0</v>
      </c>
    </row>
    <row r="46" spans="1:32">
      <c r="A46" s="21" t="s">
        <v>438</v>
      </c>
      <c r="B46" s="34" t="str">
        <f>VLOOKUP($C$46,$A$52:$AC$115,COLUMN(E51),FALSE)</f>
        <v>RawMaterials!C12</v>
      </c>
      <c r="C46" s="34" t="str">
        <f>IF(ISERROR(VLOOKUP($B$42&amp;$B$43&amp;$B$44,$A$52:$AC$115,COLUMN(E51),FALSE)),IF(ISERROR(VLOOKUP($B$42&amp;$B$44&amp;"Total",$A$52:$AC$115,COLUMN(E51),FALSE)),$B$42&amp;$B$43&amp;"Total",$B$42&amp;$B$44&amp;"Total"),$B$42&amp;$B$43&amp;$B$44)</f>
        <v>Raw materialsLithiumMined supply</v>
      </c>
      <c r="S46" s="34" t="s">
        <v>593</v>
      </c>
      <c r="T46" s="34">
        <v>1</v>
      </c>
      <c r="U46" s="34">
        <v>1</v>
      </c>
      <c r="V46" s="34">
        <v>1</v>
      </c>
      <c r="W46" s="34">
        <v>1</v>
      </c>
      <c r="X46" s="34">
        <v>1</v>
      </c>
      <c r="Y46" s="34">
        <v>2</v>
      </c>
      <c r="Z46" s="34">
        <v>2</v>
      </c>
      <c r="AA46" s="34">
        <v>2</v>
      </c>
      <c r="AB46" s="34">
        <v>2</v>
      </c>
      <c r="AC46" s="34">
        <v>2</v>
      </c>
      <c r="AD46" s="34">
        <v>2</v>
      </c>
      <c r="AE46" s="34">
        <v>2</v>
      </c>
      <c r="AF46" s="34">
        <v>2</v>
      </c>
    </row>
    <row r="47" spans="1:32">
      <c r="A47" s="21" t="s">
        <v>458</v>
      </c>
      <c r="B47" s="34">
        <f>VLOOKUP($C$46,$A$52:$AC$115,COLUMN(Q52)+$C$45*2,FALSE)</f>
        <v>55</v>
      </c>
      <c r="S47" s="34" t="s">
        <v>591</v>
      </c>
      <c r="T47" s="34">
        <f ca="1">OFFSET($C$35,T$46*2-1,0)</f>
        <v>18</v>
      </c>
      <c r="U47" s="34">
        <f t="shared" ref="U47:AC47" ca="1" si="10">OFFSET($C$35,U$46*2-1,0)</f>
        <v>18</v>
      </c>
      <c r="V47" s="34">
        <f ca="1">OFFSET($C$35,V$46*2-1,0)</f>
        <v>18</v>
      </c>
      <c r="W47" s="34">
        <f ca="1">OFFSET($C$35,W$46*2-1,0)</f>
        <v>18</v>
      </c>
      <c r="X47" s="34">
        <f ca="1">OFFSET($C$35,X$46*2-1,0)</f>
        <v>18</v>
      </c>
      <c r="Y47" s="34">
        <f t="shared" ca="1" si="10"/>
        <v>18</v>
      </c>
      <c r="Z47" s="34">
        <f t="shared" ca="1" si="10"/>
        <v>18</v>
      </c>
      <c r="AA47" s="34">
        <f ca="1">OFFSET($C$35,AA$46*2-1,0)</f>
        <v>18</v>
      </c>
      <c r="AB47" s="34">
        <f ca="1">OFFSET($C$35,AB$46*2-1,0)</f>
        <v>18</v>
      </c>
      <c r="AC47" s="34">
        <f t="shared" ca="1" si="10"/>
        <v>18</v>
      </c>
      <c r="AD47" s="34">
        <f ca="1">OFFSET($C$35,AD$46*2-1,0)</f>
        <v>18</v>
      </c>
      <c r="AE47" s="34">
        <f ca="1">OFFSET($C$35,AE$46*2-1,0)</f>
        <v>18</v>
      </c>
      <c r="AF47" s="34">
        <f t="shared" ref="AF47" ca="1" si="11">OFFSET($C$35,AF$46*2-1,0)</f>
        <v>18</v>
      </c>
    </row>
    <row r="48" spans="1:32">
      <c r="A48" s="21" t="s">
        <v>603</v>
      </c>
      <c r="B48" s="34">
        <f>VLOOKUP($C$46,$A$52:$AC$115,COLUMN(P52)+$C$45*2,FALSE)</f>
        <v>54</v>
      </c>
      <c r="C48" s="34">
        <f ca="1">MAX((O194:O223))</f>
        <v>319.58999999999997</v>
      </c>
      <c r="D48" s="34">
        <f ca="1">MIN((O194:O223))</f>
        <v>0</v>
      </c>
      <c r="S48" s="34" t="s">
        <v>592</v>
      </c>
      <c r="T48" s="34">
        <f ca="1">OFFSET($C$35,T$46*2,0)</f>
        <v>0</v>
      </c>
      <c r="U48" s="34">
        <f t="shared" ref="U48:AC48" ca="1" si="12">OFFSET($C$35,U$46*2,0)</f>
        <v>0</v>
      </c>
      <c r="V48" s="34">
        <f ca="1">OFFSET($C$35,V$46*2,0)</f>
        <v>0</v>
      </c>
      <c r="W48" s="34">
        <f ca="1">OFFSET($C$35,W$46*2,0)</f>
        <v>0</v>
      </c>
      <c r="X48" s="34">
        <f ca="1">OFFSET($C$35,X$46*2,0)</f>
        <v>0</v>
      </c>
      <c r="Y48" s="34">
        <f t="shared" ca="1" si="12"/>
        <v>1</v>
      </c>
      <c r="Z48" s="34">
        <f t="shared" ca="1" si="12"/>
        <v>1</v>
      </c>
      <c r="AA48" s="34">
        <f ca="1">OFFSET($C$35,AA$46*2,0)</f>
        <v>1</v>
      </c>
      <c r="AB48" s="34">
        <f ca="1">OFFSET($C$35,AB$46*2,0)</f>
        <v>1</v>
      </c>
      <c r="AC48" s="34">
        <f t="shared" ca="1" si="12"/>
        <v>1</v>
      </c>
      <c r="AD48" s="34">
        <f>$C$45</f>
        <v>1</v>
      </c>
      <c r="AE48" s="34">
        <f t="shared" ref="AE48:AF48" si="13">$C$45</f>
        <v>1</v>
      </c>
      <c r="AF48" s="34">
        <f t="shared" si="13"/>
        <v>1</v>
      </c>
    </row>
    <row r="49" spans="1:35">
      <c r="A49" s="21" t="s">
        <v>3</v>
      </c>
      <c r="B49" s="34" t="str">
        <f ca="1">VLOOKUP($C$46,$A$52:$AC$115,COLUMN(J53),FALSE)</f>
        <v>Thousand metric tons lithium carbonate equivalent</v>
      </c>
      <c r="C49" s="34" t="str">
        <f>VLOOKUP($C$46,$A$52:$AC$115,COLUMN(I53),FALSE)</f>
        <v>The higher, the better</v>
      </c>
      <c r="P49" s="34" t="s">
        <v>577</v>
      </c>
      <c r="R49" s="34" t="s">
        <v>580</v>
      </c>
      <c r="T49" s="34" t="s">
        <v>578</v>
      </c>
      <c r="U49" s="34" t="s">
        <v>578</v>
      </c>
      <c r="V49" s="34" t="s">
        <v>578</v>
      </c>
      <c r="W49" s="34" t="s">
        <v>578</v>
      </c>
      <c r="X49" s="34" t="s">
        <v>578</v>
      </c>
      <c r="Y49" s="34" t="s">
        <v>579</v>
      </c>
      <c r="Z49" s="34" t="s">
        <v>579</v>
      </c>
      <c r="AA49" s="21" t="s">
        <v>579</v>
      </c>
      <c r="AB49" s="21" t="s">
        <v>579</v>
      </c>
      <c r="AC49" s="21" t="s">
        <v>579</v>
      </c>
      <c r="AD49" s="21" t="s">
        <v>507</v>
      </c>
      <c r="AE49" s="21" t="s">
        <v>507</v>
      </c>
      <c r="AF49" s="21" t="s">
        <v>507</v>
      </c>
    </row>
    <row r="50" spans="1:35">
      <c r="B50" s="278"/>
      <c r="C50" s="278"/>
      <c r="D50" s="278"/>
      <c r="I50" s="21" t="s">
        <v>507</v>
      </c>
      <c r="P50" s="34">
        <v>0</v>
      </c>
      <c r="R50" s="34">
        <v>1</v>
      </c>
      <c r="S50" s="34" t="s">
        <v>595</v>
      </c>
      <c r="T50" s="34">
        <f ca="1">T48*2+T45</f>
        <v>0</v>
      </c>
      <c r="U50" s="34">
        <f t="shared" ref="U50:AC50" ca="1" si="14">U48*2+U45</f>
        <v>1</v>
      </c>
      <c r="V50" s="34">
        <f ca="1">V48*2+V45</f>
        <v>1</v>
      </c>
      <c r="W50" s="34">
        <f ca="1">W48*2+W45</f>
        <v>0</v>
      </c>
      <c r="X50" s="34">
        <f ca="1">X48*2+X45</f>
        <v>0</v>
      </c>
      <c r="Y50" s="34">
        <f t="shared" ca="1" si="14"/>
        <v>2</v>
      </c>
      <c r="Z50" s="34">
        <f t="shared" ca="1" si="14"/>
        <v>3</v>
      </c>
      <c r="AA50" s="34">
        <f ca="1">AA48*2+AA45</f>
        <v>3</v>
      </c>
      <c r="AB50" s="34">
        <f ca="1">AB48*2+AB45</f>
        <v>2</v>
      </c>
      <c r="AC50" s="34">
        <f t="shared" ca="1" si="14"/>
        <v>2</v>
      </c>
      <c r="AD50" s="34">
        <f>AD48*2+AD45</f>
        <v>3</v>
      </c>
      <c r="AE50" s="34">
        <f>AE48*2+AE45</f>
        <v>2</v>
      </c>
      <c r="AF50" s="34">
        <f t="shared" ref="AF50" si="15">AF48*2+AF45</f>
        <v>2</v>
      </c>
    </row>
    <row r="51" spans="1:35" s="23" customFormat="1">
      <c r="B51" s="23" t="s">
        <v>119</v>
      </c>
      <c r="C51" s="23" t="s">
        <v>190</v>
      </c>
      <c r="D51" s="23" t="s">
        <v>191</v>
      </c>
      <c r="E51" s="23" t="s">
        <v>438</v>
      </c>
      <c r="F51" s="23" t="s">
        <v>452</v>
      </c>
      <c r="G51" s="23" t="s">
        <v>453</v>
      </c>
      <c r="H51" s="23" t="s">
        <v>461</v>
      </c>
      <c r="I51" s="580" t="s">
        <v>543</v>
      </c>
      <c r="J51" s="23" t="s">
        <v>3</v>
      </c>
      <c r="K51" s="23" t="s">
        <v>455</v>
      </c>
      <c r="L51" s="23" t="s">
        <v>460</v>
      </c>
      <c r="M51" s="23" t="s">
        <v>417</v>
      </c>
      <c r="N51" s="23" t="s">
        <v>457</v>
      </c>
      <c r="O51" s="23" t="s">
        <v>454</v>
      </c>
      <c r="P51" s="23" t="s">
        <v>583</v>
      </c>
      <c r="Q51" s="23" t="s">
        <v>584</v>
      </c>
      <c r="R51" s="23" t="s">
        <v>583</v>
      </c>
      <c r="S51" s="23" t="s">
        <v>584</v>
      </c>
      <c r="AG51" s="23" t="s">
        <v>119</v>
      </c>
      <c r="AH51" s="23" t="s">
        <v>190</v>
      </c>
      <c r="AI51" s="23" t="s">
        <v>191</v>
      </c>
    </row>
    <row r="52" spans="1:35">
      <c r="A52" s="34" t="str">
        <f t="shared" ref="A52:A114" si="16">B52&amp;C52&amp;D52</f>
        <v>Raw materialsCobaltReserves</v>
      </c>
      <c r="B52" s="34" t="s">
        <v>79</v>
      </c>
      <c r="C52" s="34" t="s">
        <v>34</v>
      </c>
      <c r="D52" s="542" t="s">
        <v>333</v>
      </c>
      <c r="E52" s="34" t="s">
        <v>468</v>
      </c>
      <c r="F52" s="34">
        <v>1</v>
      </c>
      <c r="G52" s="34">
        <v>1</v>
      </c>
      <c r="H52" s="34">
        <v>0</v>
      </c>
      <c r="I52" s="34" t="str">
        <f>IFERROR(VLOOKUP(A52,$F$127:$J$173,3+$C$45*2,FALSE),IF(OR(C52=C51,D52="Total",J52="score"),I51,NA()))</f>
        <v>The higher, the better</v>
      </c>
      <c r="J52" s="34" t="str" cm="1">
        <f t="array" aca="1" ref="J52" ca="1">IFERROR(VLOOKUP(OFFSET(INDIRECT(E52),0,P52),Dict!$A$52:$B$57,2,FALSE),OFFSET(INDIRECT(E52),0,P52))</f>
        <v>Thousand metric tons</v>
      </c>
      <c r="K52" s="34">
        <v>3</v>
      </c>
      <c r="L52" s="34">
        <v>3</v>
      </c>
      <c r="M52" s="34">
        <v>1</v>
      </c>
      <c r="N52" s="34">
        <v>2</v>
      </c>
      <c r="O52" s="34">
        <v>2</v>
      </c>
      <c r="P52" s="21">
        <f>(F52-1)*(L52*O52*K52+M52*N52*O52)+P$50*IF(H52=0,L52,N52)+(G52-1)*L52*O52+1</f>
        <v>1</v>
      </c>
      <c r="Q52" s="21">
        <f t="shared" ref="Q52" si="17">P52+1</f>
        <v>2</v>
      </c>
      <c r="R52" s="34">
        <f t="shared" ref="R52:R114" si="18">(F52-1)*(L52*O52*K52+M52*N52*O52)+R$50*IF(H52=0,L52,N52)+(G52-1)*L52*O52+1</f>
        <v>4</v>
      </c>
      <c r="S52" s="34">
        <f t="shared" ref="S52:S114" si="19">R52+1</f>
        <v>5</v>
      </c>
      <c r="T52" s="34" cm="1">
        <f t="array" aca="1" ref="T52" ca="1">OFFSET(INDIRECT($E52),T$47,OFFSET($P52,0,T$50))</f>
        <v>0</v>
      </c>
      <c r="U52" s="34" cm="1">
        <f t="array" aca="1" ref="U52" ca="1">OFFSET(INDIRECT($E52),U$47,OFFSET($P52,0,U$50))</f>
        <v>13</v>
      </c>
      <c r="V52" s="34">
        <f t="shared" ref="V52:W71" ca="1" si="20">MAX(OFFSET(INDIRECT($E52),1,OFFSET($P52,0,V$50),Country_Count))</f>
        <v>13</v>
      </c>
      <c r="W52" s="34">
        <f t="shared" ca="1" si="20"/>
        <v>3500</v>
      </c>
      <c r="X52" s="34">
        <f t="shared" ref="X52:X83" ca="1" si="21">MIN(OFFSET(INDIRECT($E52),1,OFFSET($P52,0,X$50),Country_Count))</f>
        <v>0</v>
      </c>
      <c r="Y52" s="34" cm="1">
        <f t="array" aca="1" ref="Y52" ca="1">OFFSET(INDIRECT($E52),Y$47,OFFSET($P52,0,Y$50))</f>
        <v>0</v>
      </c>
      <c r="Z52" s="34" cm="1">
        <f t="array" aca="1" ref="Z52" ca="1">OFFSET(INDIRECT($E52),Z$47,OFFSET($P52,0,Z$50))</f>
        <v>15</v>
      </c>
      <c r="AA52" s="34">
        <f t="shared" ref="AA52:AE71" ca="1" si="22">MAX(OFFSET(INDIRECT($E52),1,OFFSET($P52,0,AA$50),Country_Count))</f>
        <v>15</v>
      </c>
      <c r="AB52" s="34">
        <f t="shared" ca="1" si="22"/>
        <v>4000</v>
      </c>
      <c r="AC52" s="34">
        <f t="shared" ref="AC52:AC83" ca="1" si="23">MIN(OFFSET(INDIRECT($E52),1,OFFSET($P52,0,AC$50),Country_Count))</f>
        <v>0</v>
      </c>
      <c r="AD52" s="34">
        <f t="shared" ca="1" si="22"/>
        <v>15</v>
      </c>
      <c r="AE52" s="34">
        <f t="shared" ca="1" si="22"/>
        <v>4000</v>
      </c>
      <c r="AF52" s="34">
        <f t="shared" ref="AF52:AF115" ca="1" si="24">MIN(OFFSET(INDIRECT($E52),1,OFFSET($P52,0,AF$50),Country_Count))</f>
        <v>0</v>
      </c>
      <c r="AG52" s="34" t="s">
        <v>79</v>
      </c>
      <c r="AH52" s="34" t="s">
        <v>34</v>
      </c>
      <c r="AI52" s="542" t="s">
        <v>333</v>
      </c>
    </row>
    <row r="53" spans="1:35">
      <c r="A53" s="34" t="str">
        <f t="shared" si="16"/>
        <v>Raw materialsCobaltMined supply</v>
      </c>
      <c r="B53" s="34" t="s">
        <v>79</v>
      </c>
      <c r="C53" s="34" t="s">
        <v>34</v>
      </c>
      <c r="D53" s="278" t="s">
        <v>509</v>
      </c>
      <c r="E53" s="34" t="s">
        <v>468</v>
      </c>
      <c r="F53" s="34">
        <v>1</v>
      </c>
      <c r="G53" s="34">
        <v>2</v>
      </c>
      <c r="H53" s="34">
        <v>0</v>
      </c>
      <c r="I53" s="34" t="str">
        <f t="shared" ref="I53:I115" si="25">IFERROR(VLOOKUP(A53,$F$127:$J$173,3+$C$45*2,FALSE),IF(OR(C53=C52,D53="Total",J53="score"),I52,NA()))</f>
        <v>The higher, the better</v>
      </c>
      <c r="J53" s="34" t="str" cm="1">
        <f t="array" aca="1" ref="J53" ca="1">IFERROR(VLOOKUP(OFFSET(INDIRECT(E53),0,P53),Dict!$A$52:$B$57,2,FALSE),OFFSET(INDIRECT(E53),0,P53))</f>
        <v>Thousand metric tons</v>
      </c>
      <c r="K53" s="34">
        <v>3</v>
      </c>
      <c r="L53" s="34">
        <v>3</v>
      </c>
      <c r="M53" s="34">
        <v>1</v>
      </c>
      <c r="N53" s="34">
        <v>2</v>
      </c>
      <c r="O53" s="34">
        <v>2</v>
      </c>
      <c r="P53" s="21">
        <f t="shared" ref="P53:P115" si="26">(F53-1)*(L53*O53*K53+M53*N53*O53)+P$50*IF(H53=0,L53,N53)+(G53-1)*L53*O53+1</f>
        <v>7</v>
      </c>
      <c r="Q53" s="21">
        <f t="shared" ref="Q53:Q72" si="27">P53+1</f>
        <v>8</v>
      </c>
      <c r="R53" s="34">
        <f t="shared" si="18"/>
        <v>10</v>
      </c>
      <c r="S53" s="34">
        <f t="shared" si="19"/>
        <v>11</v>
      </c>
      <c r="T53" s="34" cm="1">
        <f t="array" aca="1" ref="T53" ca="1">OFFSET(INDIRECT($E53),T$47,OFFSET($P53,0,T$50))</f>
        <v>0</v>
      </c>
      <c r="U53" s="34" cm="1">
        <f t="array" aca="1" ref="U53" ca="1">OFFSET(INDIRECT($E53),U$47,OFFSET($P53,0,U$50))</f>
        <v>9</v>
      </c>
      <c r="V53" s="34">
        <f t="shared" ca="1" si="20"/>
        <v>9</v>
      </c>
      <c r="W53" s="34">
        <f t="shared" ca="1" si="20"/>
        <v>120.9974</v>
      </c>
      <c r="X53" s="34">
        <f t="shared" ca="1" si="21"/>
        <v>0</v>
      </c>
      <c r="Y53" s="34" cm="1">
        <f t="array" aca="1" ref="Y53" ca="1">OFFSET(INDIRECT($E53),Y$47,OFFSET($P53,0,Y$50))</f>
        <v>0</v>
      </c>
      <c r="Z53" s="34" cm="1">
        <f t="array" aca="1" ref="Z53" ca="1">OFFSET(INDIRECT($E53),Z$47,OFFSET($P53,0,Z$50))</f>
        <v>13</v>
      </c>
      <c r="AA53" s="34">
        <f t="shared" ca="1" si="22"/>
        <v>13</v>
      </c>
      <c r="AB53" s="34">
        <f t="shared" ca="1" si="22"/>
        <v>138.9</v>
      </c>
      <c r="AC53" s="34">
        <f t="shared" ca="1" si="23"/>
        <v>0</v>
      </c>
      <c r="AD53" s="34">
        <f t="shared" ca="1" si="22"/>
        <v>13</v>
      </c>
      <c r="AE53" s="34">
        <f t="shared" ca="1" si="22"/>
        <v>138.9</v>
      </c>
      <c r="AF53" s="34">
        <f t="shared" ca="1" si="24"/>
        <v>0</v>
      </c>
      <c r="AG53" s="34" t="s">
        <v>79</v>
      </c>
      <c r="AH53" s="34" t="s">
        <v>34</v>
      </c>
      <c r="AI53" s="278" t="s">
        <v>509</v>
      </c>
    </row>
    <row r="54" spans="1:35">
      <c r="A54" s="34" t="str">
        <f t="shared" si="16"/>
        <v>Raw materialsCobaltRefined supply</v>
      </c>
      <c r="B54" s="34" t="s">
        <v>79</v>
      </c>
      <c r="C54" s="34" t="s">
        <v>34</v>
      </c>
      <c r="D54" s="278" t="s">
        <v>510</v>
      </c>
      <c r="E54" s="34" t="s">
        <v>468</v>
      </c>
      <c r="F54" s="34">
        <v>1</v>
      </c>
      <c r="G54" s="34">
        <v>3</v>
      </c>
      <c r="H54" s="34">
        <v>0</v>
      </c>
      <c r="I54" s="34" t="str">
        <f t="shared" si="25"/>
        <v>The higher, the better</v>
      </c>
      <c r="J54" s="34" t="str" cm="1">
        <f t="array" aca="1" ref="J54" ca="1">IFERROR(VLOOKUP(OFFSET(INDIRECT(E54),0,P54),Dict!$A$52:$B$57,2,FALSE),OFFSET(INDIRECT(E54),0,P54))</f>
        <v>Thousand metric tons</v>
      </c>
      <c r="K54" s="34">
        <v>3</v>
      </c>
      <c r="L54" s="34">
        <v>3</v>
      </c>
      <c r="M54" s="34">
        <v>1</v>
      </c>
      <c r="N54" s="34">
        <v>2</v>
      </c>
      <c r="O54" s="34">
        <v>2</v>
      </c>
      <c r="P54" s="21">
        <f t="shared" si="26"/>
        <v>13</v>
      </c>
      <c r="Q54" s="21">
        <f t="shared" si="27"/>
        <v>14</v>
      </c>
      <c r="R54" s="34">
        <f t="shared" si="18"/>
        <v>16</v>
      </c>
      <c r="S54" s="34">
        <f t="shared" si="19"/>
        <v>17</v>
      </c>
      <c r="T54" s="34" cm="1">
        <f t="array" aca="1" ref="T54" ca="1">OFFSET(INDIRECT($E54),T$47,OFFSET($P54,0,T$50))</f>
        <v>0</v>
      </c>
      <c r="U54" s="34" cm="1">
        <f t="array" aca="1" ref="U54" ca="1">OFFSET(INDIRECT($E54),U$47,OFFSET($P54,0,U$50))</f>
        <v>6</v>
      </c>
      <c r="V54" s="34">
        <f t="shared" ca="1" si="20"/>
        <v>6</v>
      </c>
      <c r="W54" s="34">
        <f t="shared" ca="1" si="20"/>
        <v>117.77500000250002</v>
      </c>
      <c r="X54" s="34">
        <f t="shared" ca="1" si="21"/>
        <v>0</v>
      </c>
      <c r="Y54" s="34" cm="1">
        <f t="array" aca="1" ref="Y54" ca="1">OFFSET(INDIRECT($E54),Y$47,OFFSET($P54,0,Y$50))</f>
        <v>0</v>
      </c>
      <c r="Z54" s="34" cm="1">
        <f t="array" aca="1" ref="Z54" ca="1">OFFSET(INDIRECT($E54),Z$47,OFFSET($P54,0,Z$50))</f>
        <v>9</v>
      </c>
      <c r="AA54" s="34">
        <f t="shared" ca="1" si="22"/>
        <v>9</v>
      </c>
      <c r="AB54" s="34">
        <f t="shared" ca="1" si="22"/>
        <v>547.29999999999995</v>
      </c>
      <c r="AC54" s="34">
        <f t="shared" ca="1" si="23"/>
        <v>0</v>
      </c>
      <c r="AD54" s="34">
        <f t="shared" ca="1" si="22"/>
        <v>9</v>
      </c>
      <c r="AE54" s="34">
        <f t="shared" ca="1" si="22"/>
        <v>547.29999999999995</v>
      </c>
      <c r="AF54" s="34">
        <f t="shared" ca="1" si="24"/>
        <v>0</v>
      </c>
      <c r="AG54" s="34" t="s">
        <v>79</v>
      </c>
      <c r="AH54" s="34" t="s">
        <v>34</v>
      </c>
      <c r="AI54" s="278" t="s">
        <v>510</v>
      </c>
    </row>
    <row r="55" spans="1:35">
      <c r="A55" s="34" t="str">
        <f t="shared" si="16"/>
        <v>Raw materialsCobaltTotal</v>
      </c>
      <c r="B55" s="34" t="s">
        <v>79</v>
      </c>
      <c r="C55" s="34" t="s">
        <v>34</v>
      </c>
      <c r="D55" s="34" t="s">
        <v>4</v>
      </c>
      <c r="E55" s="34" t="s">
        <v>468</v>
      </c>
      <c r="F55" s="34">
        <v>1</v>
      </c>
      <c r="G55" s="34">
        <v>4</v>
      </c>
      <c r="H55" s="34">
        <v>1</v>
      </c>
      <c r="I55" s="34" t="str">
        <f t="shared" ca="1" si="25"/>
        <v>The higher, the better</v>
      </c>
      <c r="J55" s="34" t="str" cm="1">
        <f t="array" aca="1" ref="J55" ca="1">IFERROR(VLOOKUP(OFFSET(INDIRECT(E55),0,P55),Dict!$A$52:$B$57,2,FALSE),OFFSET(INDIRECT(E55),0,P55))</f>
        <v>Score</v>
      </c>
      <c r="K55" s="34">
        <v>3</v>
      </c>
      <c r="L55" s="34">
        <v>3</v>
      </c>
      <c r="M55" s="34">
        <v>1</v>
      </c>
      <c r="N55" s="34">
        <v>2</v>
      </c>
      <c r="O55" s="34">
        <v>2</v>
      </c>
      <c r="P55" s="21">
        <f t="shared" si="26"/>
        <v>19</v>
      </c>
      <c r="Q55" s="21">
        <f t="shared" si="27"/>
        <v>20</v>
      </c>
      <c r="R55" s="34">
        <f t="shared" si="18"/>
        <v>21</v>
      </c>
      <c r="S55" s="34">
        <f t="shared" si="19"/>
        <v>22</v>
      </c>
      <c r="T55" s="34" cm="1">
        <f t="array" aca="1" ref="T55" ca="1">OFFSET(INDIRECT($E55),T$47,OFFSET($P55,0,T$50))</f>
        <v>3</v>
      </c>
      <c r="U55" s="34" cm="1">
        <f t="array" aca="1" ref="U55" ca="1">OFFSET(INDIRECT($E55),U$47,OFFSET($P55,0,U$50))</f>
        <v>15</v>
      </c>
      <c r="V55" s="34">
        <f t="shared" ca="1" si="20"/>
        <v>15</v>
      </c>
      <c r="W55" s="34">
        <f t="shared" ca="1" si="20"/>
        <v>12</v>
      </c>
      <c r="X55" s="34">
        <f t="shared" ca="1" si="21"/>
        <v>3</v>
      </c>
      <c r="Y55" s="34" cm="1">
        <f t="array" aca="1" ref="Y55" ca="1">OFFSET(INDIRECT($E55),Y$47,OFFSET($P55,0,Y$50))</f>
        <v>3</v>
      </c>
      <c r="Z55" s="34" cm="1">
        <f t="array" aca="1" ref="Z55" ca="1">OFFSET(INDIRECT($E55),Z$47,OFFSET($P55,0,Z$50))</f>
        <v>15</v>
      </c>
      <c r="AA55" s="34">
        <f t="shared" ca="1" si="22"/>
        <v>15</v>
      </c>
      <c r="AB55" s="34">
        <f t="shared" ca="1" si="22"/>
        <v>12</v>
      </c>
      <c r="AC55" s="34">
        <f t="shared" ca="1" si="23"/>
        <v>3</v>
      </c>
      <c r="AD55" s="34">
        <f t="shared" ca="1" si="22"/>
        <v>15</v>
      </c>
      <c r="AE55" s="34">
        <f t="shared" ca="1" si="22"/>
        <v>12</v>
      </c>
      <c r="AF55" s="34">
        <f t="shared" ca="1" si="24"/>
        <v>3</v>
      </c>
      <c r="AG55" s="34" t="s">
        <v>79</v>
      </c>
      <c r="AH55" s="21" t="s">
        <v>609</v>
      </c>
      <c r="AI55" s="34" t="s">
        <v>4</v>
      </c>
    </row>
    <row r="56" spans="1:35">
      <c r="A56" s="34" t="str">
        <f t="shared" si="16"/>
        <v>Raw materialsLithiumReserves</v>
      </c>
      <c r="B56" s="34" t="s">
        <v>79</v>
      </c>
      <c r="C56" s="34" t="s">
        <v>33</v>
      </c>
      <c r="D56" s="542" t="s">
        <v>333</v>
      </c>
      <c r="E56" s="34" t="s">
        <v>468</v>
      </c>
      <c r="F56" s="34">
        <v>3</v>
      </c>
      <c r="G56" s="34">
        <v>1</v>
      </c>
      <c r="H56" s="34">
        <v>0</v>
      </c>
      <c r="I56" s="34" t="str">
        <f t="shared" si="25"/>
        <v>The higher, the better</v>
      </c>
      <c r="J56" s="34" t="str" cm="1">
        <f t="array" aca="1" ref="J56" ca="1">IFERROR(VLOOKUP(OFFSET(INDIRECT(E56),0,P56),Dict!$A$52:$B$57,2,FALSE),OFFSET(INDIRECT(E56),0,P56))</f>
        <v>Thousand metric tons</v>
      </c>
      <c r="K56" s="34">
        <v>3</v>
      </c>
      <c r="L56" s="34">
        <v>3</v>
      </c>
      <c r="M56" s="34">
        <v>1</v>
      </c>
      <c r="N56" s="34">
        <v>2</v>
      </c>
      <c r="O56" s="34">
        <v>2</v>
      </c>
      <c r="P56" s="21">
        <f t="shared" si="26"/>
        <v>45</v>
      </c>
      <c r="Q56" s="21">
        <f t="shared" si="27"/>
        <v>46</v>
      </c>
      <c r="R56" s="34">
        <f t="shared" si="18"/>
        <v>48</v>
      </c>
      <c r="S56" s="34">
        <f t="shared" si="19"/>
        <v>49</v>
      </c>
      <c r="T56" s="34" cm="1">
        <f t="array" aca="1" ref="T56" ca="1">OFFSET(INDIRECT($E56),T$47,OFFSET($P56,0,T$50))</f>
        <v>2200</v>
      </c>
      <c r="U56" s="34" cm="1">
        <f t="array" aca="1" ref="U56" ca="1">OFFSET(INDIRECT($E56),U$47,OFFSET($P56,0,U$50))</f>
        <v>3</v>
      </c>
      <c r="V56" s="34">
        <f t="shared" ca="1" si="20"/>
        <v>13</v>
      </c>
      <c r="W56" s="34">
        <f t="shared" ca="1" si="20"/>
        <v>9200</v>
      </c>
      <c r="X56" s="34">
        <f t="shared" ca="1" si="21"/>
        <v>0</v>
      </c>
      <c r="Y56" s="34" cm="1">
        <f t="array" aca="1" ref="Y56" ca="1">OFFSET(INDIRECT($E56),Y$47,OFFSET($P56,0,Y$50))</f>
        <v>2700</v>
      </c>
      <c r="Z56" s="34" cm="1">
        <f t="array" aca="1" ref="Z56" ca="1">OFFSET(INDIRECT($E56),Z$47,OFFSET($P56,0,Z$50))</f>
        <v>3</v>
      </c>
      <c r="AA56" s="34">
        <f t="shared" ca="1" si="22"/>
        <v>14</v>
      </c>
      <c r="AB56" s="34">
        <f t="shared" ca="1" si="22"/>
        <v>9300</v>
      </c>
      <c r="AC56" s="34">
        <f t="shared" ca="1" si="23"/>
        <v>0</v>
      </c>
      <c r="AD56" s="34">
        <f t="shared" ca="1" si="22"/>
        <v>14</v>
      </c>
      <c r="AE56" s="34">
        <f t="shared" ca="1" si="22"/>
        <v>9300</v>
      </c>
      <c r="AF56" s="34">
        <f t="shared" ca="1" si="24"/>
        <v>0</v>
      </c>
      <c r="AG56" s="34" t="s">
        <v>79</v>
      </c>
      <c r="AH56" s="34" t="s">
        <v>33</v>
      </c>
      <c r="AI56" s="542" t="s">
        <v>333</v>
      </c>
    </row>
    <row r="57" spans="1:35">
      <c r="A57" s="34" t="str">
        <f t="shared" si="16"/>
        <v>Raw materialsLithiumMined supply</v>
      </c>
      <c r="B57" s="34" t="s">
        <v>79</v>
      </c>
      <c r="C57" s="34" t="s">
        <v>33</v>
      </c>
      <c r="D57" s="278" t="s">
        <v>509</v>
      </c>
      <c r="E57" s="34" t="s">
        <v>468</v>
      </c>
      <c r="F57" s="34">
        <v>3</v>
      </c>
      <c r="G57" s="34">
        <v>2</v>
      </c>
      <c r="H57" s="34">
        <v>0</v>
      </c>
      <c r="I57" s="34" t="str">
        <f t="shared" si="25"/>
        <v>The higher, the better</v>
      </c>
      <c r="J57" s="34" t="str" cm="1">
        <f t="array" aca="1" ref="J57" ca="1">IFERROR(VLOOKUP(OFFSET(INDIRECT(E57),0,P57),Dict!$A$52:$B$57,2,FALSE),OFFSET(INDIRECT(E57),0,P57))</f>
        <v>Thousand metric tons lithium carbonate equivalent</v>
      </c>
      <c r="K57" s="34">
        <v>3</v>
      </c>
      <c r="L57" s="34">
        <v>3</v>
      </c>
      <c r="M57" s="34">
        <v>1</v>
      </c>
      <c r="N57" s="34">
        <v>2</v>
      </c>
      <c r="O57" s="34">
        <v>2</v>
      </c>
      <c r="P57" s="21">
        <f t="shared" si="26"/>
        <v>51</v>
      </c>
      <c r="Q57" s="21">
        <f t="shared" si="27"/>
        <v>52</v>
      </c>
      <c r="R57" s="34">
        <f t="shared" si="18"/>
        <v>54</v>
      </c>
      <c r="S57" s="34">
        <f t="shared" si="19"/>
        <v>55</v>
      </c>
      <c r="T57" s="34" cm="1">
        <f t="array" aca="1" ref="T57" ca="1">OFFSET(INDIRECT($E57),T$47,OFFSET($P57,0,T$50))</f>
        <v>50.05</v>
      </c>
      <c r="U57" s="34" cm="1">
        <f t="array" aca="1" ref="U57" ca="1">OFFSET(INDIRECT($E57),U$47,OFFSET($P57,0,U$50))</f>
        <v>4</v>
      </c>
      <c r="V57" s="34">
        <f t="shared" ca="1" si="20"/>
        <v>8</v>
      </c>
      <c r="W57" s="34">
        <f t="shared" ca="1" si="20"/>
        <v>263.89119592500009</v>
      </c>
      <c r="X57" s="34">
        <f t="shared" ca="1" si="21"/>
        <v>0</v>
      </c>
      <c r="Y57" s="34" cm="1">
        <f t="array" aca="1" ref="Y57" ca="1">OFFSET(INDIRECT($E57),Y$47,OFFSET($P57,0,Y$50))</f>
        <v>55.3</v>
      </c>
      <c r="Z57" s="34" cm="1">
        <f t="array" aca="1" ref="Z57" ca="1">OFFSET(INDIRECT($E57),Z$47,OFFSET($P57,0,Z$50))</f>
        <v>4</v>
      </c>
      <c r="AA57" s="34">
        <f t="shared" ca="1" si="22"/>
        <v>8</v>
      </c>
      <c r="AB57" s="34">
        <f t="shared" ca="1" si="22"/>
        <v>319.58999999999997</v>
      </c>
      <c r="AC57" s="34">
        <f t="shared" ca="1" si="23"/>
        <v>0</v>
      </c>
      <c r="AD57" s="34">
        <f t="shared" ca="1" si="22"/>
        <v>8</v>
      </c>
      <c r="AE57" s="34">
        <f t="shared" ca="1" si="22"/>
        <v>319.58999999999997</v>
      </c>
      <c r="AF57" s="34">
        <f t="shared" ca="1" si="24"/>
        <v>0</v>
      </c>
      <c r="AG57" s="34" t="s">
        <v>79</v>
      </c>
      <c r="AH57" s="34" t="s">
        <v>33</v>
      </c>
      <c r="AI57" s="278" t="s">
        <v>509</v>
      </c>
    </row>
    <row r="58" spans="1:35">
      <c r="A58" s="34" t="str">
        <f t="shared" si="16"/>
        <v>Raw materialsLithiumRefined supply</v>
      </c>
      <c r="B58" s="34" t="s">
        <v>79</v>
      </c>
      <c r="C58" s="34" t="s">
        <v>33</v>
      </c>
      <c r="D58" s="278" t="s">
        <v>510</v>
      </c>
      <c r="E58" s="34" t="s">
        <v>468</v>
      </c>
      <c r="F58" s="34">
        <v>3</v>
      </c>
      <c r="G58" s="34">
        <v>3</v>
      </c>
      <c r="H58" s="34">
        <v>0</v>
      </c>
      <c r="I58" s="34" t="str">
        <f t="shared" si="25"/>
        <v>The higher, the better</v>
      </c>
      <c r="J58" s="34" t="str" cm="1">
        <f t="array" aca="1" ref="J58" ca="1">IFERROR(VLOOKUP(OFFSET(INDIRECT(E58),0,P58),Dict!$A$52:$B$57,2,FALSE),OFFSET(INDIRECT(E58),0,P58))</f>
        <v>Thousand metric tons lithium carbonate equivalent</v>
      </c>
      <c r="K58" s="34">
        <v>3</v>
      </c>
      <c r="L58" s="34">
        <v>3</v>
      </c>
      <c r="M58" s="34">
        <v>1</v>
      </c>
      <c r="N58" s="34">
        <v>2</v>
      </c>
      <c r="O58" s="34">
        <v>2</v>
      </c>
      <c r="P58" s="21">
        <f t="shared" si="26"/>
        <v>57</v>
      </c>
      <c r="Q58" s="21">
        <f t="shared" ref="Q58" si="28">P58+1</f>
        <v>58</v>
      </c>
      <c r="R58" s="34">
        <f t="shared" si="18"/>
        <v>60</v>
      </c>
      <c r="S58" s="34">
        <f t="shared" si="19"/>
        <v>61</v>
      </c>
      <c r="T58" s="34" cm="1">
        <f t="array" aca="1" ref="T58" ca="1">OFFSET(INDIRECT($E58),T$47,OFFSET($P58,0,T$50))</f>
        <v>63</v>
      </c>
      <c r="U58" s="34" cm="1">
        <f t="array" aca="1" ref="U58" ca="1">OFFSET(INDIRECT($E58),U$47,OFFSET($P58,0,U$50))</f>
        <v>3</v>
      </c>
      <c r="V58" s="34">
        <f t="shared" ca="1" si="20"/>
        <v>9</v>
      </c>
      <c r="W58" s="34">
        <f t="shared" ca="1" si="20"/>
        <v>812.7628825531915</v>
      </c>
      <c r="X58" s="34">
        <f t="shared" ca="1" si="21"/>
        <v>0</v>
      </c>
      <c r="Y58" s="34" cm="1">
        <f t="array" aca="1" ref="Y58" ca="1">OFFSET(INDIRECT($E58),Y$47,OFFSET($P58,0,Y$50))</f>
        <v>33.5</v>
      </c>
      <c r="Z58" s="34" cm="1">
        <f t="array" aca="1" ref="Z58" ca="1">OFFSET(INDIRECT($E58),Z$47,OFFSET($P58,0,Z$50))</f>
        <v>4</v>
      </c>
      <c r="AA58" s="34">
        <f t="shared" ca="1" si="22"/>
        <v>7</v>
      </c>
      <c r="AB58" s="34">
        <f t="shared" ca="1" si="22"/>
        <v>807.12199999999996</v>
      </c>
      <c r="AC58" s="34">
        <f t="shared" ca="1" si="23"/>
        <v>0</v>
      </c>
      <c r="AD58" s="34">
        <f t="shared" ca="1" si="22"/>
        <v>7</v>
      </c>
      <c r="AE58" s="34">
        <f t="shared" ca="1" si="22"/>
        <v>807.12199999999996</v>
      </c>
      <c r="AF58" s="34">
        <f t="shared" ca="1" si="24"/>
        <v>0</v>
      </c>
      <c r="AG58" s="34" t="s">
        <v>79</v>
      </c>
      <c r="AH58" s="34" t="s">
        <v>33</v>
      </c>
      <c r="AI58" s="278" t="s">
        <v>510</v>
      </c>
    </row>
    <row r="59" spans="1:35">
      <c r="A59" s="34" t="str">
        <f t="shared" si="16"/>
        <v>Raw materialsLithiumTotal</v>
      </c>
      <c r="B59" s="34" t="s">
        <v>79</v>
      </c>
      <c r="C59" s="34" t="s">
        <v>33</v>
      </c>
      <c r="D59" s="34" t="s">
        <v>4</v>
      </c>
      <c r="E59" s="34" t="s">
        <v>468</v>
      </c>
      <c r="F59" s="34">
        <v>3</v>
      </c>
      <c r="G59" s="34">
        <v>4</v>
      </c>
      <c r="H59" s="34">
        <v>1</v>
      </c>
      <c r="I59" s="34" t="str">
        <f t="shared" ca="1" si="25"/>
        <v>The higher, the better</v>
      </c>
      <c r="J59" s="34" t="str" cm="1">
        <f t="array" aca="1" ref="J59" ca="1">IFERROR(VLOOKUP(OFFSET(INDIRECT(E59),0,P59),Dict!$A$52:$B$57,2,FALSE),OFFSET(INDIRECT(E59),0,P59))</f>
        <v>Score</v>
      </c>
      <c r="K59" s="34">
        <v>3</v>
      </c>
      <c r="L59" s="34">
        <v>3</v>
      </c>
      <c r="M59" s="34">
        <v>1</v>
      </c>
      <c r="N59" s="34">
        <v>2</v>
      </c>
      <c r="O59" s="34">
        <v>2</v>
      </c>
      <c r="P59" s="21">
        <f t="shared" si="26"/>
        <v>63</v>
      </c>
      <c r="Q59" s="21">
        <f t="shared" si="27"/>
        <v>64</v>
      </c>
      <c r="R59" s="34">
        <f t="shared" si="18"/>
        <v>65</v>
      </c>
      <c r="S59" s="34">
        <f t="shared" si="19"/>
        <v>66</v>
      </c>
      <c r="T59" s="34" cm="1">
        <f t="array" aca="1" ref="T59" ca="1">OFFSET(INDIRECT($E59),T$47,OFFSET($P59,0,T$50))</f>
        <v>13</v>
      </c>
      <c r="U59" s="34" cm="1">
        <f t="array" aca="1" ref="U59" ca="1">OFFSET(INDIRECT($E59),U$47,OFFSET($P59,0,U$50))</f>
        <v>4</v>
      </c>
      <c r="V59" s="34">
        <f t="shared" ca="1" si="20"/>
        <v>14</v>
      </c>
      <c r="W59" s="34">
        <f t="shared" ca="1" si="20"/>
        <v>15</v>
      </c>
      <c r="X59" s="34">
        <f t="shared" ca="1" si="21"/>
        <v>3</v>
      </c>
      <c r="Y59" s="34" cm="1">
        <f t="array" aca="1" ref="Y59" ca="1">OFFSET(INDIRECT($E59),Y$47,OFFSET($P59,0,Y$50))</f>
        <v>11</v>
      </c>
      <c r="Z59" s="34" cm="1">
        <f t="array" aca="1" ref="Z59" ca="1">OFFSET(INDIRECT($E59),Z$47,OFFSET($P59,0,Z$50))</f>
        <v>4</v>
      </c>
      <c r="AA59" s="34">
        <f t="shared" ca="1" si="22"/>
        <v>13</v>
      </c>
      <c r="AB59" s="34">
        <f t="shared" ca="1" si="22"/>
        <v>14</v>
      </c>
      <c r="AC59" s="34">
        <f t="shared" ca="1" si="23"/>
        <v>3</v>
      </c>
      <c r="AD59" s="34">
        <f t="shared" ca="1" si="22"/>
        <v>13</v>
      </c>
      <c r="AE59" s="34">
        <f t="shared" ca="1" si="22"/>
        <v>14</v>
      </c>
      <c r="AF59" s="34">
        <f t="shared" ca="1" si="24"/>
        <v>3</v>
      </c>
      <c r="AG59" s="34" t="s">
        <v>79</v>
      </c>
      <c r="AH59" s="21" t="s">
        <v>610</v>
      </c>
      <c r="AI59" s="34" t="s">
        <v>4</v>
      </c>
    </row>
    <row r="60" spans="1:35">
      <c r="A60" s="34" t="str">
        <f t="shared" si="16"/>
        <v>Raw materialsNickelReserves</v>
      </c>
      <c r="B60" s="34" t="s">
        <v>79</v>
      </c>
      <c r="C60" s="21" t="s">
        <v>35</v>
      </c>
      <c r="D60" s="542" t="s">
        <v>333</v>
      </c>
      <c r="E60" s="34" t="s">
        <v>468</v>
      </c>
      <c r="F60" s="34">
        <v>5</v>
      </c>
      <c r="G60" s="34">
        <v>1</v>
      </c>
      <c r="H60" s="34">
        <v>0</v>
      </c>
      <c r="I60" s="34" t="str">
        <f t="shared" si="25"/>
        <v>The higher, the better</v>
      </c>
      <c r="J60" s="34" t="str" cm="1">
        <f t="array" aca="1" ref="J60" ca="1">IFERROR(VLOOKUP(OFFSET(INDIRECT(E60),0,P60),Dict!$A$52:$B$57,2,FALSE),OFFSET(INDIRECT(E60),0,P60))</f>
        <v>Thousand metric tons</v>
      </c>
      <c r="K60" s="34">
        <v>3</v>
      </c>
      <c r="L60" s="34">
        <v>3</v>
      </c>
      <c r="M60" s="34">
        <v>1</v>
      </c>
      <c r="N60" s="34">
        <v>2</v>
      </c>
      <c r="O60" s="34">
        <v>2</v>
      </c>
      <c r="P60" s="21">
        <f t="shared" si="26"/>
        <v>89</v>
      </c>
      <c r="Q60" s="21">
        <f t="shared" si="27"/>
        <v>90</v>
      </c>
      <c r="R60" s="34">
        <f t="shared" si="18"/>
        <v>92</v>
      </c>
      <c r="S60" s="34">
        <f t="shared" si="19"/>
        <v>93</v>
      </c>
      <c r="T60" s="34" cm="1">
        <f t="array" aca="1" ref="T60" ca="1">OFFSET(INDIRECT($E60),T$47,OFFSET($P60,0,T$50))</f>
        <v>0</v>
      </c>
      <c r="U60" s="34" cm="1">
        <f t="array" aca="1" ref="U60" ca="1">OFFSET(INDIRECT($E60),U$47,OFFSET($P60,0,U$50))</f>
        <v>8</v>
      </c>
      <c r="V60" s="34">
        <f t="shared" ca="1" si="20"/>
        <v>8</v>
      </c>
      <c r="W60" s="34">
        <f t="shared" ca="1" si="20"/>
        <v>21000</v>
      </c>
      <c r="X60" s="34">
        <f t="shared" ca="1" si="21"/>
        <v>0</v>
      </c>
      <c r="Y60" s="34" cm="1">
        <f t="array" aca="1" ref="Y60" ca="1">OFFSET(INDIRECT($E60),Y$47,OFFSET($P60,0,Y$50))</f>
        <v>0</v>
      </c>
      <c r="Z60" s="34" cm="1">
        <f t="array" aca="1" ref="Z60" ca="1">OFFSET(INDIRECT($E60),Z$47,OFFSET($P60,0,Z$50))</f>
        <v>11</v>
      </c>
      <c r="AA60" s="34">
        <f t="shared" ca="1" si="22"/>
        <v>11</v>
      </c>
      <c r="AB60" s="34">
        <f t="shared" ca="1" si="22"/>
        <v>21381.0645</v>
      </c>
      <c r="AC60" s="34">
        <f t="shared" ca="1" si="23"/>
        <v>0</v>
      </c>
      <c r="AD60" s="34">
        <f t="shared" ca="1" si="22"/>
        <v>11</v>
      </c>
      <c r="AE60" s="34">
        <f t="shared" ca="1" si="22"/>
        <v>21381.0645</v>
      </c>
      <c r="AF60" s="34">
        <f t="shared" ca="1" si="24"/>
        <v>0</v>
      </c>
      <c r="AG60" s="34" t="s">
        <v>79</v>
      </c>
      <c r="AH60" s="21" t="s">
        <v>35</v>
      </c>
      <c r="AI60" s="542" t="s">
        <v>333</v>
      </c>
    </row>
    <row r="61" spans="1:35">
      <c r="A61" s="34" t="str">
        <f t="shared" si="16"/>
        <v>Raw materialsNickelMined supply</v>
      </c>
      <c r="B61" s="34" t="s">
        <v>79</v>
      </c>
      <c r="C61" s="21" t="s">
        <v>35</v>
      </c>
      <c r="D61" s="278" t="s">
        <v>509</v>
      </c>
      <c r="E61" s="34" t="s">
        <v>468</v>
      </c>
      <c r="F61" s="34">
        <v>5</v>
      </c>
      <c r="G61" s="34">
        <v>2</v>
      </c>
      <c r="H61" s="34">
        <v>0</v>
      </c>
      <c r="I61" s="34" t="str">
        <f t="shared" si="25"/>
        <v>The higher, the better</v>
      </c>
      <c r="J61" s="34" t="str" cm="1">
        <f t="array" aca="1" ref="J61" ca="1">IFERROR(VLOOKUP(OFFSET(INDIRECT(E61),0,P61),Dict!$A$52:$B$57,2,FALSE),OFFSET(INDIRECT(E61),0,P61))</f>
        <v>Thousand metric tons</v>
      </c>
      <c r="K61" s="34">
        <v>3</v>
      </c>
      <c r="L61" s="34">
        <v>3</v>
      </c>
      <c r="M61" s="34">
        <v>1</v>
      </c>
      <c r="N61" s="34">
        <v>2</v>
      </c>
      <c r="O61" s="34">
        <v>2</v>
      </c>
      <c r="P61" s="21">
        <f t="shared" si="26"/>
        <v>95</v>
      </c>
      <c r="Q61" s="21">
        <f t="shared" si="27"/>
        <v>96</v>
      </c>
      <c r="R61" s="34">
        <f t="shared" si="18"/>
        <v>98</v>
      </c>
      <c r="S61" s="34">
        <f t="shared" si="19"/>
        <v>99</v>
      </c>
      <c r="T61" s="34" cm="1">
        <f t="array" aca="1" ref="T61" ca="1">OFFSET(INDIRECT($E61),T$47,OFFSET($P61,0,T$50))</f>
        <v>0</v>
      </c>
      <c r="U61" s="34" cm="1">
        <f t="array" aca="1" ref="U61" ca="1">OFFSET(INDIRECT($E61),U$47,OFFSET($P61,0,U$50))</f>
        <v>12</v>
      </c>
      <c r="V61" s="34">
        <f t="shared" ca="1" si="20"/>
        <v>12</v>
      </c>
      <c r="W61" s="34">
        <f t="shared" ca="1" si="20"/>
        <v>165.85918626368999</v>
      </c>
      <c r="X61" s="34">
        <f t="shared" ca="1" si="21"/>
        <v>0</v>
      </c>
      <c r="Y61" s="34" cm="1">
        <f t="array" aca="1" ref="Y61" ca="1">OFFSET(INDIRECT($E61),Y$47,OFFSET($P61,0,Y$50))</f>
        <v>0</v>
      </c>
      <c r="Z61" s="34" cm="1">
        <f t="array" aca="1" ref="Z61" ca="1">OFFSET(INDIRECT($E61),Z$47,OFFSET($P61,0,Z$50))</f>
        <v>13</v>
      </c>
      <c r="AA61" s="34">
        <f t="shared" ca="1" si="22"/>
        <v>13</v>
      </c>
      <c r="AB61" s="34">
        <f t="shared" ca="1" si="22"/>
        <v>301.52999999999997</v>
      </c>
      <c r="AC61" s="34">
        <f t="shared" ca="1" si="23"/>
        <v>0</v>
      </c>
      <c r="AD61" s="34">
        <f t="shared" ca="1" si="22"/>
        <v>13</v>
      </c>
      <c r="AE61" s="34">
        <f t="shared" ca="1" si="22"/>
        <v>301.52999999999997</v>
      </c>
      <c r="AF61" s="34">
        <f t="shared" ca="1" si="24"/>
        <v>0</v>
      </c>
      <c r="AG61" s="34" t="s">
        <v>79</v>
      </c>
      <c r="AH61" s="21" t="s">
        <v>35</v>
      </c>
      <c r="AI61" s="278" t="s">
        <v>509</v>
      </c>
    </row>
    <row r="62" spans="1:35">
      <c r="A62" s="34" t="str">
        <f t="shared" si="16"/>
        <v>Raw materialsNickelRefined supply</v>
      </c>
      <c r="B62" s="34" t="s">
        <v>79</v>
      </c>
      <c r="C62" s="21" t="s">
        <v>35</v>
      </c>
      <c r="D62" s="278" t="s">
        <v>510</v>
      </c>
      <c r="E62" s="34" t="s">
        <v>468</v>
      </c>
      <c r="F62" s="34">
        <v>5</v>
      </c>
      <c r="G62" s="34">
        <v>3</v>
      </c>
      <c r="H62" s="34">
        <v>0</v>
      </c>
      <c r="I62" s="34" t="str">
        <f t="shared" si="25"/>
        <v>The higher, the better</v>
      </c>
      <c r="J62" s="34" t="str" cm="1">
        <f t="array" aca="1" ref="J62" ca="1">IFERROR(VLOOKUP(OFFSET(INDIRECT(E62),0,P62),Dict!$A$52:$B$57,2,FALSE),OFFSET(INDIRECT(E62),0,P62))</f>
        <v>Thousand metric tons</v>
      </c>
      <c r="K62" s="34">
        <v>3</v>
      </c>
      <c r="L62" s="34">
        <v>3</v>
      </c>
      <c r="M62" s="34">
        <v>1</v>
      </c>
      <c r="N62" s="34">
        <v>2</v>
      </c>
      <c r="O62" s="34">
        <v>2</v>
      </c>
      <c r="P62" s="21">
        <f t="shared" si="26"/>
        <v>101</v>
      </c>
      <c r="Q62" s="21">
        <f t="shared" ref="Q62" si="29">P62+1</f>
        <v>102</v>
      </c>
      <c r="R62" s="34">
        <f t="shared" si="18"/>
        <v>104</v>
      </c>
      <c r="S62" s="34">
        <f t="shared" si="19"/>
        <v>105</v>
      </c>
      <c r="T62" s="34" cm="1">
        <f t="array" aca="1" ref="T62" ca="1">OFFSET(INDIRECT($E62),T$47,OFFSET($P62,0,T$50))</f>
        <v>0</v>
      </c>
      <c r="U62" s="34" cm="1">
        <f t="array" aca="1" ref="U62" ca="1">OFFSET(INDIRECT($E62),U$47,OFFSET($P62,0,U$50))</f>
        <v>8</v>
      </c>
      <c r="V62" s="34">
        <f t="shared" ca="1" si="20"/>
        <v>8</v>
      </c>
      <c r="W62" s="34">
        <f t="shared" ca="1" si="20"/>
        <v>218.02199999999999</v>
      </c>
      <c r="X62" s="34">
        <f t="shared" ca="1" si="21"/>
        <v>0</v>
      </c>
      <c r="Y62" s="34" cm="1">
        <f t="array" aca="1" ref="Y62" ca="1">OFFSET(INDIRECT($E62),Y$47,OFFSET($P62,0,Y$50))</f>
        <v>0</v>
      </c>
      <c r="Z62" s="34" cm="1">
        <f t="array" aca="1" ref="Z62" ca="1">OFFSET(INDIRECT($E62),Z$47,OFFSET($P62,0,Z$50))</f>
        <v>8</v>
      </c>
      <c r="AA62" s="34">
        <f t="shared" ca="1" si="22"/>
        <v>8</v>
      </c>
      <c r="AB62" s="34">
        <f t="shared" ca="1" si="22"/>
        <v>515.38</v>
      </c>
      <c r="AC62" s="34">
        <f t="shared" ca="1" si="23"/>
        <v>0</v>
      </c>
      <c r="AD62" s="34">
        <f t="shared" ca="1" si="22"/>
        <v>8</v>
      </c>
      <c r="AE62" s="34">
        <f t="shared" ca="1" si="22"/>
        <v>515.38</v>
      </c>
      <c r="AF62" s="34">
        <f t="shared" ca="1" si="24"/>
        <v>0</v>
      </c>
      <c r="AG62" s="34" t="s">
        <v>79</v>
      </c>
      <c r="AH62" s="21" t="s">
        <v>35</v>
      </c>
      <c r="AI62" s="278" t="s">
        <v>510</v>
      </c>
    </row>
    <row r="63" spans="1:35">
      <c r="A63" s="34" t="str">
        <f t="shared" si="16"/>
        <v>Raw materialsNickelTotal</v>
      </c>
      <c r="B63" s="34" t="s">
        <v>79</v>
      </c>
      <c r="C63" s="21" t="s">
        <v>35</v>
      </c>
      <c r="D63" s="34" t="s">
        <v>4</v>
      </c>
      <c r="E63" s="34" t="s">
        <v>468</v>
      </c>
      <c r="F63" s="34">
        <v>5</v>
      </c>
      <c r="G63" s="34">
        <v>4</v>
      </c>
      <c r="H63" s="34">
        <v>1</v>
      </c>
      <c r="I63" s="34" t="str">
        <f t="shared" ca="1" si="25"/>
        <v>The higher, the better</v>
      </c>
      <c r="J63" s="34" t="str" cm="1">
        <f t="array" aca="1" ref="J63" ca="1">IFERROR(VLOOKUP(OFFSET(INDIRECT(E63),0,P63),Dict!$A$52:$B$57,2,FALSE),OFFSET(INDIRECT(E63),0,P63))</f>
        <v>Score</v>
      </c>
      <c r="K63" s="34">
        <v>3</v>
      </c>
      <c r="L63" s="34">
        <v>3</v>
      </c>
      <c r="M63" s="34">
        <v>1</v>
      </c>
      <c r="N63" s="34">
        <v>2</v>
      </c>
      <c r="O63" s="34">
        <v>2</v>
      </c>
      <c r="P63" s="21">
        <f t="shared" si="26"/>
        <v>107</v>
      </c>
      <c r="Q63" s="21">
        <f t="shared" si="27"/>
        <v>108</v>
      </c>
      <c r="R63" s="34">
        <f t="shared" si="18"/>
        <v>109</v>
      </c>
      <c r="S63" s="34">
        <f t="shared" si="19"/>
        <v>110</v>
      </c>
      <c r="T63" s="34" cm="1">
        <f t="array" aca="1" ref="T63" ca="1">OFFSET(INDIRECT($E63),T$47,OFFSET($P63,0,T$50))</f>
        <v>3</v>
      </c>
      <c r="U63" s="34" cm="1">
        <f t="array" aca="1" ref="U63" ca="1">OFFSET(INDIRECT($E63),U$47,OFFSET($P63,0,U$50))</f>
        <v>13</v>
      </c>
      <c r="V63" s="34">
        <f t="shared" ca="1" si="20"/>
        <v>13</v>
      </c>
      <c r="W63" s="34">
        <f t="shared" ca="1" si="20"/>
        <v>13</v>
      </c>
      <c r="X63" s="34">
        <f t="shared" ca="1" si="21"/>
        <v>3</v>
      </c>
      <c r="Y63" s="34" cm="1">
        <f t="array" aca="1" ref="Y63" ca="1">OFFSET(INDIRECT($E63),Y$47,OFFSET($P63,0,Y$50))</f>
        <v>3</v>
      </c>
      <c r="Z63" s="34" cm="1">
        <f t="array" aca="1" ref="Z63" ca="1">OFFSET(INDIRECT($E63),Z$47,OFFSET($P63,0,Z$50))</f>
        <v>14</v>
      </c>
      <c r="AA63" s="34">
        <f t="shared" ca="1" si="22"/>
        <v>14</v>
      </c>
      <c r="AB63" s="34">
        <f t="shared" ca="1" si="22"/>
        <v>13</v>
      </c>
      <c r="AC63" s="34">
        <f t="shared" ca="1" si="23"/>
        <v>3</v>
      </c>
      <c r="AD63" s="34">
        <f t="shared" ca="1" si="22"/>
        <v>14</v>
      </c>
      <c r="AE63" s="34">
        <f t="shared" ca="1" si="22"/>
        <v>13</v>
      </c>
      <c r="AF63" s="34">
        <f t="shared" ca="1" si="24"/>
        <v>3</v>
      </c>
      <c r="AG63" s="34" t="s">
        <v>79</v>
      </c>
      <c r="AH63" s="21" t="s">
        <v>611</v>
      </c>
      <c r="AI63" s="34" t="s">
        <v>4</v>
      </c>
    </row>
    <row r="64" spans="1:35">
      <c r="A64" s="34" t="str">
        <f t="shared" si="16"/>
        <v>Raw materialsGraphite (Natural)Reserves</v>
      </c>
      <c r="B64" s="34" t="s">
        <v>79</v>
      </c>
      <c r="C64" s="278" t="s">
        <v>499</v>
      </c>
      <c r="D64" s="542" t="s">
        <v>333</v>
      </c>
      <c r="E64" s="34" t="s">
        <v>468</v>
      </c>
      <c r="F64" s="34">
        <v>2</v>
      </c>
      <c r="G64" s="34">
        <v>1</v>
      </c>
      <c r="H64" s="34">
        <v>0</v>
      </c>
      <c r="I64" s="34" t="str">
        <f t="shared" si="25"/>
        <v>The higher, the better</v>
      </c>
      <c r="J64" s="34" t="str" cm="1">
        <f t="array" aca="1" ref="J64" ca="1">IFERROR(VLOOKUP(OFFSET(INDIRECT(E64),0,P64),Dict!$A$52:$B$57,2,FALSE),OFFSET(INDIRECT(E64),0,P64))</f>
        <v>Thousand metric tons</v>
      </c>
      <c r="K64" s="34">
        <v>3</v>
      </c>
      <c r="L64" s="34">
        <v>3</v>
      </c>
      <c r="M64" s="34">
        <v>1</v>
      </c>
      <c r="N64" s="34">
        <v>2</v>
      </c>
      <c r="O64" s="34">
        <v>2</v>
      </c>
      <c r="P64" s="21">
        <f t="shared" si="26"/>
        <v>23</v>
      </c>
      <c r="Q64" s="21">
        <f t="shared" si="27"/>
        <v>24</v>
      </c>
      <c r="R64" s="34">
        <f t="shared" si="18"/>
        <v>26</v>
      </c>
      <c r="S64" s="34">
        <f t="shared" si="19"/>
        <v>27</v>
      </c>
      <c r="T64" s="34" cm="1">
        <f t="array" aca="1" ref="T64" ca="1">OFFSET(INDIRECT($E64),T$47,OFFSET($P64,0,T$50))</f>
        <v>0</v>
      </c>
      <c r="U64" s="34" cm="1">
        <f t="array" aca="1" ref="U64" ca="1">OFFSET(INDIRECT($E64),U$47,OFFSET($P64,0,U$50))</f>
        <v>11</v>
      </c>
      <c r="V64" s="34">
        <f t="shared" ca="1" si="20"/>
        <v>11</v>
      </c>
      <c r="W64" s="34">
        <f t="shared" ca="1" si="20"/>
        <v>90000</v>
      </c>
      <c r="X64" s="34">
        <f t="shared" ca="1" si="21"/>
        <v>0</v>
      </c>
      <c r="Y64" s="34" cm="1">
        <f t="array" aca="1" ref="Y64" ca="1">OFFSET(INDIRECT($E64),Y$47,OFFSET($P64,0,Y$50))</f>
        <v>0</v>
      </c>
      <c r="Z64" s="34" cm="1">
        <f t="array" aca="1" ref="Z64" ca="1">OFFSET(INDIRECT($E64),Z$47,OFFSET($P64,0,Z$50))</f>
        <v>11</v>
      </c>
      <c r="AA64" s="34">
        <f t="shared" ca="1" si="22"/>
        <v>11</v>
      </c>
      <c r="AB64" s="34">
        <f t="shared" ca="1" si="22"/>
        <v>74000</v>
      </c>
      <c r="AC64" s="34">
        <f t="shared" ca="1" si="23"/>
        <v>0</v>
      </c>
      <c r="AD64" s="34">
        <f t="shared" ca="1" si="22"/>
        <v>11</v>
      </c>
      <c r="AE64" s="34">
        <f t="shared" ca="1" si="22"/>
        <v>74000</v>
      </c>
      <c r="AF64" s="34">
        <f t="shared" ca="1" si="24"/>
        <v>0</v>
      </c>
      <c r="AG64" s="34" t="s">
        <v>79</v>
      </c>
      <c r="AH64" s="278" t="s">
        <v>499</v>
      </c>
      <c r="AI64" s="542" t="s">
        <v>333</v>
      </c>
    </row>
    <row r="65" spans="1:36">
      <c r="A65" s="34" t="str">
        <f t="shared" si="16"/>
        <v>Raw materialsGraphite (Natural)Mined supply</v>
      </c>
      <c r="B65" s="34" t="s">
        <v>79</v>
      </c>
      <c r="C65" s="278" t="s">
        <v>499</v>
      </c>
      <c r="D65" s="278" t="s">
        <v>509</v>
      </c>
      <c r="E65" s="34" t="s">
        <v>468</v>
      </c>
      <c r="F65" s="34">
        <v>2</v>
      </c>
      <c r="G65" s="34">
        <v>2</v>
      </c>
      <c r="H65" s="34">
        <v>0</v>
      </c>
      <c r="I65" s="34" t="str">
        <f t="shared" si="25"/>
        <v>The higher, the better</v>
      </c>
      <c r="J65" s="34" t="str" cm="1">
        <f t="array" aca="1" ref="J65" ca="1">IFERROR(VLOOKUP(OFFSET(INDIRECT(E65),0,P65),Dict!$A$52:$B$57,2,FALSE),OFFSET(INDIRECT(E65),0,P65))</f>
        <v>Thousand metric tons</v>
      </c>
      <c r="K65" s="34">
        <v>3</v>
      </c>
      <c r="L65" s="34">
        <v>3</v>
      </c>
      <c r="M65" s="34">
        <v>1</v>
      </c>
      <c r="N65" s="34">
        <v>2</v>
      </c>
      <c r="O65" s="34">
        <v>2</v>
      </c>
      <c r="P65" s="21">
        <f t="shared" si="26"/>
        <v>29</v>
      </c>
      <c r="Q65" s="21">
        <f t="shared" si="27"/>
        <v>30</v>
      </c>
      <c r="R65" s="34">
        <f t="shared" si="18"/>
        <v>32</v>
      </c>
      <c r="S65" s="34">
        <f t="shared" si="19"/>
        <v>33</v>
      </c>
      <c r="T65" s="34" cm="1">
        <f t="array" aca="1" ref="T65" ca="1">OFFSET(INDIRECT($E65),T$47,OFFSET($P65,0,T$50))</f>
        <v>0</v>
      </c>
      <c r="U65" s="34" cm="1">
        <f t="array" aca="1" ref="U65" ca="1">OFFSET(INDIRECT($E65),U$47,OFFSET($P65,0,U$50))</f>
        <v>10</v>
      </c>
      <c r="V65" s="34">
        <f t="shared" ca="1" si="20"/>
        <v>10</v>
      </c>
      <c r="W65" s="34">
        <f t="shared" ca="1" si="20"/>
        <v>820</v>
      </c>
      <c r="X65" s="34">
        <f t="shared" ca="1" si="21"/>
        <v>0</v>
      </c>
      <c r="Y65" s="34" cm="1">
        <f t="array" aca="1" ref="Y65" ca="1">OFFSET(INDIRECT($E65),Y$47,OFFSET($P65,0,Y$50))</f>
        <v>0</v>
      </c>
      <c r="Z65" s="34" cm="1">
        <f t="array" aca="1" ref="Z65" ca="1">OFFSET(INDIRECT($E65),Z$47,OFFSET($P65,0,Z$50))</f>
        <v>10</v>
      </c>
      <c r="AA65" s="34">
        <f t="shared" ca="1" si="22"/>
        <v>10</v>
      </c>
      <c r="AB65" s="34">
        <f t="shared" ca="1" si="22"/>
        <v>850</v>
      </c>
      <c r="AC65" s="34">
        <f t="shared" ca="1" si="23"/>
        <v>0</v>
      </c>
      <c r="AD65" s="34">
        <f t="shared" ca="1" si="22"/>
        <v>10</v>
      </c>
      <c r="AE65" s="34">
        <f t="shared" ca="1" si="22"/>
        <v>850</v>
      </c>
      <c r="AF65" s="34">
        <f t="shared" ca="1" si="24"/>
        <v>0</v>
      </c>
      <c r="AG65" s="34" t="s">
        <v>79</v>
      </c>
      <c r="AH65" s="278" t="s">
        <v>499</v>
      </c>
      <c r="AI65" s="278" t="s">
        <v>509</v>
      </c>
    </row>
    <row r="66" spans="1:36">
      <c r="A66" s="34" t="str">
        <f t="shared" si="16"/>
        <v>Raw materialsGraphite (Natural)Refined supply</v>
      </c>
      <c r="B66" s="34" t="s">
        <v>79</v>
      </c>
      <c r="C66" s="278" t="s">
        <v>499</v>
      </c>
      <c r="D66" s="278" t="s">
        <v>510</v>
      </c>
      <c r="E66" s="34" t="s">
        <v>468</v>
      </c>
      <c r="F66" s="34">
        <v>2</v>
      </c>
      <c r="G66" s="34">
        <v>3</v>
      </c>
      <c r="H66" s="34">
        <v>0</v>
      </c>
      <c r="I66" s="34" t="str">
        <f t="shared" si="25"/>
        <v>N/A</v>
      </c>
      <c r="J66" s="34" t="str" cm="1">
        <f t="array" aca="1" ref="J66" ca="1">IFERROR(VLOOKUP(OFFSET(INDIRECT(E66),0,P66),Dict!$A$52:$B$57,2,FALSE),OFFSET(INDIRECT(E66),0,P66))</f>
        <v>Thousand metric tons</v>
      </c>
      <c r="K66" s="34">
        <v>3</v>
      </c>
      <c r="L66" s="34">
        <v>3</v>
      </c>
      <c r="M66" s="34">
        <v>1</v>
      </c>
      <c r="N66" s="34">
        <v>2</v>
      </c>
      <c r="O66" s="34">
        <v>2</v>
      </c>
      <c r="P66" s="21">
        <f t="shared" si="26"/>
        <v>35</v>
      </c>
      <c r="Q66" s="21">
        <f t="shared" ref="Q66" si="30">P66+1</f>
        <v>36</v>
      </c>
      <c r="R66" s="34">
        <f t="shared" si="18"/>
        <v>38</v>
      </c>
      <c r="S66" s="34">
        <f t="shared" si="19"/>
        <v>39</v>
      </c>
      <c r="T66" s="34" cm="1">
        <f t="array" aca="1" ref="T66" ca="1">OFFSET(INDIRECT($E66),T$47,OFFSET($P66,0,T$50))</f>
        <v>0</v>
      </c>
      <c r="U66" s="34" cm="1">
        <f t="array" aca="1" ref="U66" ca="1">OFFSET(INDIRECT($E66),U$47,OFFSET($P66,0,U$50))</f>
        <v>9</v>
      </c>
      <c r="V66" s="34">
        <f t="shared" ca="1" si="20"/>
        <v>9</v>
      </c>
      <c r="W66" s="34">
        <f t="shared" ca="1" si="20"/>
        <v>820.33</v>
      </c>
      <c r="X66" s="34">
        <f t="shared" ca="1" si="21"/>
        <v>0</v>
      </c>
      <c r="Y66" s="34" cm="1">
        <f t="array" aca="1" ref="Y66" ca="1">OFFSET(INDIRECT($E66),Y$47,OFFSET($P66,0,Y$50))</f>
        <v>0</v>
      </c>
      <c r="Z66" s="34" cm="1">
        <f t="array" aca="1" ref="Z66" ca="1">OFFSET(INDIRECT($E66),Z$47,OFFSET($P66,0,Z$50))</f>
        <v>0</v>
      </c>
      <c r="AA66" s="34">
        <f t="shared" ca="1" si="22"/>
        <v>0</v>
      </c>
      <c r="AB66" s="34">
        <f t="shared" ca="1" si="22"/>
        <v>0</v>
      </c>
      <c r="AC66" s="34">
        <f t="shared" ca="1" si="23"/>
        <v>0</v>
      </c>
      <c r="AD66" s="34">
        <f t="shared" ca="1" si="22"/>
        <v>0</v>
      </c>
      <c r="AE66" s="34">
        <f t="shared" ca="1" si="22"/>
        <v>0</v>
      </c>
      <c r="AF66" s="34">
        <f t="shared" ca="1" si="24"/>
        <v>0</v>
      </c>
      <c r="AG66" s="34" t="s">
        <v>79</v>
      </c>
      <c r="AH66" s="278" t="s">
        <v>499</v>
      </c>
      <c r="AI66" s="278" t="s">
        <v>510</v>
      </c>
    </row>
    <row r="67" spans="1:36">
      <c r="A67" s="34" t="str">
        <f t="shared" si="16"/>
        <v>Raw materialsGraphite (Natural)Total</v>
      </c>
      <c r="B67" s="34" t="s">
        <v>79</v>
      </c>
      <c r="C67" s="278" t="s">
        <v>499</v>
      </c>
      <c r="D67" s="34" t="s">
        <v>4</v>
      </c>
      <c r="E67" s="34" t="s">
        <v>468</v>
      </c>
      <c r="F67" s="34">
        <v>2</v>
      </c>
      <c r="G67" s="34">
        <v>4</v>
      </c>
      <c r="H67" s="34">
        <v>1</v>
      </c>
      <c r="I67" s="34" t="str">
        <f t="shared" ca="1" si="25"/>
        <v>N/A</v>
      </c>
      <c r="J67" s="34" t="str" cm="1">
        <f t="array" aca="1" ref="J67" ca="1">IFERROR(VLOOKUP(OFFSET(INDIRECT(E67),0,P67),Dict!$A$52:$B$57,2,FALSE),OFFSET(INDIRECT(E67),0,P67))</f>
        <v>Score</v>
      </c>
      <c r="K67" s="34">
        <v>3</v>
      </c>
      <c r="L67" s="34">
        <v>3</v>
      </c>
      <c r="M67" s="34">
        <v>1</v>
      </c>
      <c r="N67" s="34">
        <v>2</v>
      </c>
      <c r="O67" s="34">
        <v>2</v>
      </c>
      <c r="P67" s="21">
        <f t="shared" si="26"/>
        <v>41</v>
      </c>
      <c r="Q67" s="21">
        <f t="shared" si="27"/>
        <v>42</v>
      </c>
      <c r="R67" s="34">
        <f t="shared" si="18"/>
        <v>43</v>
      </c>
      <c r="S67" s="34">
        <f t="shared" si="19"/>
        <v>44</v>
      </c>
      <c r="T67" s="34" cm="1">
        <f t="array" aca="1" ref="T67" ca="1">OFFSET(INDIRECT($E67),T$47,OFFSET($P67,0,T$50))</f>
        <v>3</v>
      </c>
      <c r="U67" s="34" cm="1">
        <f t="array" aca="1" ref="U67" ca="1">OFFSET(INDIRECT($E67),U$47,OFFSET($P67,0,U$50))</f>
        <v>14</v>
      </c>
      <c r="V67" s="34">
        <f t="shared" ca="1" si="20"/>
        <v>14</v>
      </c>
      <c r="W67" s="34">
        <f t="shared" ca="1" si="20"/>
        <v>15</v>
      </c>
      <c r="X67" s="34">
        <f t="shared" ca="1" si="21"/>
        <v>3</v>
      </c>
      <c r="Y67" s="34" cm="1">
        <f t="array" aca="1" ref="Y67" ca="1">OFFSET(INDIRECT($E67),Y$47,OFFSET($P67,0,Y$50))</f>
        <v>2</v>
      </c>
      <c r="Z67" s="34" cm="1">
        <f t="array" aca="1" ref="Z67" ca="1">OFFSET(INDIRECT($E67),Z$47,OFFSET($P67,0,Z$50))</f>
        <v>10</v>
      </c>
      <c r="AA67" s="34">
        <f t="shared" ca="1" si="22"/>
        <v>10</v>
      </c>
      <c r="AB67" s="34">
        <f t="shared" ca="1" si="22"/>
        <v>10</v>
      </c>
      <c r="AC67" s="34">
        <f t="shared" ca="1" si="23"/>
        <v>2</v>
      </c>
      <c r="AD67" s="34">
        <f t="shared" ca="1" si="22"/>
        <v>10</v>
      </c>
      <c r="AE67" s="34">
        <f t="shared" ca="1" si="22"/>
        <v>10</v>
      </c>
      <c r="AF67" s="34">
        <f t="shared" ca="1" si="24"/>
        <v>2</v>
      </c>
      <c r="AG67" s="34" t="s">
        <v>79</v>
      </c>
      <c r="AH67" s="278" t="s">
        <v>612</v>
      </c>
      <c r="AI67" s="34" t="s">
        <v>4</v>
      </c>
    </row>
    <row r="68" spans="1:36">
      <c r="A68" s="34" t="str">
        <f t="shared" si="16"/>
        <v>Raw materialsManganeseReserves</v>
      </c>
      <c r="B68" s="34" t="s">
        <v>79</v>
      </c>
      <c r="C68" s="21" t="s">
        <v>37</v>
      </c>
      <c r="D68" s="542" t="s">
        <v>333</v>
      </c>
      <c r="E68" s="34" t="s">
        <v>468</v>
      </c>
      <c r="F68" s="34">
        <v>4</v>
      </c>
      <c r="G68" s="34">
        <v>1</v>
      </c>
      <c r="H68" s="34">
        <v>0</v>
      </c>
      <c r="I68" s="34" t="str">
        <f t="shared" si="25"/>
        <v>The higher, the better</v>
      </c>
      <c r="J68" s="34" t="str" cm="1">
        <f t="array" aca="1" ref="J68" ca="1">IFERROR(VLOOKUP(OFFSET(INDIRECT(E68),0,P68),Dict!$A$52:$B$57,2,FALSE),OFFSET(INDIRECT(E68),0,P68))</f>
        <v>Thousand metric tons</v>
      </c>
      <c r="K68" s="34">
        <v>3</v>
      </c>
      <c r="L68" s="34">
        <v>3</v>
      </c>
      <c r="M68" s="34">
        <v>1</v>
      </c>
      <c r="N68" s="34">
        <v>2</v>
      </c>
      <c r="O68" s="34">
        <v>2</v>
      </c>
      <c r="P68" s="21">
        <f t="shared" si="26"/>
        <v>67</v>
      </c>
      <c r="Q68" s="21">
        <f t="shared" si="27"/>
        <v>68</v>
      </c>
      <c r="R68" s="34">
        <f t="shared" si="18"/>
        <v>70</v>
      </c>
      <c r="S68" s="34">
        <f t="shared" si="19"/>
        <v>71</v>
      </c>
      <c r="T68" s="34" cm="1">
        <f t="array" aca="1" ref="T68" ca="1">OFFSET(INDIRECT($E68),T$47,OFFSET($P68,0,T$50))</f>
        <v>0</v>
      </c>
      <c r="U68" s="34" cm="1">
        <f t="array" aca="1" ref="U68" ca="1">OFFSET(INDIRECT($E68),U$47,OFFSET($P68,0,U$50))</f>
        <v>7</v>
      </c>
      <c r="V68" s="34">
        <f t="shared" ca="1" si="20"/>
        <v>7</v>
      </c>
      <c r="W68" s="34">
        <f t="shared" ca="1" si="20"/>
        <v>640000</v>
      </c>
      <c r="X68" s="34">
        <f t="shared" ca="1" si="21"/>
        <v>0</v>
      </c>
      <c r="Y68" s="34" cm="1">
        <f t="array" aca="1" ref="Y68" ca="1">OFFSET(INDIRECT($E68),Y$47,OFFSET($P68,0,Y$50))</f>
        <v>0</v>
      </c>
      <c r="Z68" s="34" cm="1">
        <f t="array" aca="1" ref="Z68" ca="1">OFFSET(INDIRECT($E68),Z$47,OFFSET($P68,0,Z$50))</f>
        <v>10</v>
      </c>
      <c r="AA68" s="34">
        <f t="shared" ca="1" si="22"/>
        <v>10</v>
      </c>
      <c r="AB68" s="34">
        <f t="shared" ca="1" si="22"/>
        <v>640000</v>
      </c>
      <c r="AC68" s="34">
        <f t="shared" ca="1" si="23"/>
        <v>0</v>
      </c>
      <c r="AD68" s="34">
        <f t="shared" ca="1" si="22"/>
        <v>10</v>
      </c>
      <c r="AE68" s="34">
        <f t="shared" ca="1" si="22"/>
        <v>640000</v>
      </c>
      <c r="AF68" s="34">
        <f t="shared" ca="1" si="24"/>
        <v>0</v>
      </c>
      <c r="AG68" s="34" t="s">
        <v>79</v>
      </c>
      <c r="AH68" s="21" t="s">
        <v>37</v>
      </c>
      <c r="AI68" s="542" t="s">
        <v>333</v>
      </c>
    </row>
    <row r="69" spans="1:36">
      <c r="A69" s="34" t="str">
        <f t="shared" si="16"/>
        <v>Raw materialsManganeseMined supply</v>
      </c>
      <c r="B69" s="34" t="s">
        <v>79</v>
      </c>
      <c r="C69" s="34" t="s">
        <v>37</v>
      </c>
      <c r="D69" s="278" t="s">
        <v>509</v>
      </c>
      <c r="E69" s="34" t="s">
        <v>468</v>
      </c>
      <c r="F69" s="34">
        <v>4</v>
      </c>
      <c r="G69" s="34">
        <v>2</v>
      </c>
      <c r="H69" s="34">
        <v>0</v>
      </c>
      <c r="I69" s="34" t="str">
        <f t="shared" si="25"/>
        <v>The higher, the better</v>
      </c>
      <c r="J69" s="34" t="str" cm="1">
        <f t="array" aca="1" ref="J69" ca="1">IFERROR(VLOOKUP(OFFSET(INDIRECT(E69),0,P69),Dict!$A$52:$B$57,2,FALSE),OFFSET(INDIRECT(E69),0,P69))</f>
        <v>Thousand metric tons</v>
      </c>
      <c r="K69" s="34">
        <v>3</v>
      </c>
      <c r="L69" s="34">
        <v>3</v>
      </c>
      <c r="M69" s="34">
        <v>1</v>
      </c>
      <c r="N69" s="34">
        <v>2</v>
      </c>
      <c r="O69" s="34">
        <v>2</v>
      </c>
      <c r="P69" s="21">
        <f t="shared" si="26"/>
        <v>73</v>
      </c>
      <c r="Q69" s="21">
        <f t="shared" si="27"/>
        <v>74</v>
      </c>
      <c r="R69" s="34">
        <f t="shared" si="18"/>
        <v>76</v>
      </c>
      <c r="S69" s="34">
        <f t="shared" si="19"/>
        <v>77</v>
      </c>
      <c r="T69" s="34" cm="1">
        <f t="array" aca="1" ref="T69" ca="1">OFFSET(INDIRECT($E69),T$47,OFFSET($P69,0,T$50))</f>
        <v>0</v>
      </c>
      <c r="U69" s="34" cm="1">
        <f t="array" aca="1" ref="U69" ca="1">OFFSET(INDIRECT($E69),U$47,OFFSET($P69,0,U$50))</f>
        <v>10</v>
      </c>
      <c r="V69" s="34">
        <f t="shared" ca="1" si="20"/>
        <v>10</v>
      </c>
      <c r="W69" s="34">
        <f t="shared" ca="1" si="20"/>
        <v>7407.5834000000004</v>
      </c>
      <c r="X69" s="34">
        <f t="shared" ca="1" si="21"/>
        <v>0</v>
      </c>
      <c r="Y69" s="34" cm="1">
        <f t="array" aca="1" ref="Y69" ca="1">OFFSET(INDIRECT($E69),Y$47,OFFSET($P69,0,Y$50))</f>
        <v>0</v>
      </c>
      <c r="Z69" s="34" cm="1">
        <f t="array" aca="1" ref="Z69" ca="1">OFFSET(INDIRECT($E69),Z$47,OFFSET($P69,0,Z$50))</f>
        <v>11</v>
      </c>
      <c r="AA69" s="34">
        <f t="shared" ca="1" si="22"/>
        <v>11</v>
      </c>
      <c r="AB69" s="34">
        <f t="shared" ca="1" si="22"/>
        <v>7612</v>
      </c>
      <c r="AC69" s="34">
        <f t="shared" ca="1" si="23"/>
        <v>0</v>
      </c>
      <c r="AD69" s="34">
        <f t="shared" ca="1" si="22"/>
        <v>11</v>
      </c>
      <c r="AE69" s="34">
        <f t="shared" ca="1" si="22"/>
        <v>7612</v>
      </c>
      <c r="AF69" s="34">
        <f t="shared" ca="1" si="24"/>
        <v>0</v>
      </c>
      <c r="AG69" s="34" t="s">
        <v>79</v>
      </c>
      <c r="AH69" s="34" t="s">
        <v>37</v>
      </c>
      <c r="AI69" s="278" t="s">
        <v>509</v>
      </c>
    </row>
    <row r="70" spans="1:36">
      <c r="A70" s="34" t="str">
        <f t="shared" si="16"/>
        <v>Raw materialsManganeseRefined supply</v>
      </c>
      <c r="B70" s="34" t="s">
        <v>79</v>
      </c>
      <c r="C70" s="34" t="s">
        <v>37</v>
      </c>
      <c r="D70" s="278" t="s">
        <v>510</v>
      </c>
      <c r="E70" s="34" t="s">
        <v>468</v>
      </c>
      <c r="F70" s="34">
        <v>4</v>
      </c>
      <c r="G70" s="34">
        <v>3</v>
      </c>
      <c r="H70" s="34">
        <v>0</v>
      </c>
      <c r="I70" s="34" t="str">
        <f t="shared" si="25"/>
        <v>The higher, the better</v>
      </c>
      <c r="J70" s="34" t="str" cm="1">
        <f t="array" aca="1" ref="J70" ca="1">IFERROR(VLOOKUP(OFFSET(INDIRECT(E70),0,P70),Dict!$A$52:$B$57,2,FALSE),OFFSET(INDIRECT(E70),0,P70))</f>
        <v>Thousand metric tons</v>
      </c>
      <c r="K70" s="34">
        <v>3</v>
      </c>
      <c r="L70" s="34">
        <v>3</v>
      </c>
      <c r="M70" s="34">
        <v>1</v>
      </c>
      <c r="N70" s="34">
        <v>2</v>
      </c>
      <c r="O70" s="34">
        <v>2</v>
      </c>
      <c r="P70" s="21">
        <f t="shared" si="26"/>
        <v>79</v>
      </c>
      <c r="Q70" s="21">
        <f t="shared" si="27"/>
        <v>80</v>
      </c>
      <c r="R70" s="34">
        <f t="shared" si="18"/>
        <v>82</v>
      </c>
      <c r="S70" s="34">
        <f t="shared" si="19"/>
        <v>83</v>
      </c>
      <c r="T70" s="34" cm="1">
        <f t="array" aca="1" ref="T70" ca="1">OFFSET(INDIRECT($E70),T$47,OFFSET($P70,0,T$50))</f>
        <v>0</v>
      </c>
      <c r="U70" s="34" cm="1">
        <f t="array" aca="1" ref="U70" ca="1">OFFSET(INDIRECT($E70),U$47,OFFSET($P70,0,U$50))</f>
        <v>5</v>
      </c>
      <c r="V70" s="34">
        <f t="shared" ca="1" si="20"/>
        <v>5</v>
      </c>
      <c r="W70" s="34">
        <f t="shared" ca="1" si="20"/>
        <v>84.32</v>
      </c>
      <c r="X70" s="34">
        <f t="shared" ca="1" si="21"/>
        <v>0</v>
      </c>
      <c r="Y70" s="34" cm="1">
        <f t="array" aca="1" ref="Y70" ca="1">OFFSET(INDIRECT($E70),Y$47,OFFSET($P70,0,Y$50))</f>
        <v>0</v>
      </c>
      <c r="Z70" s="34" cm="1">
        <f t="array" aca="1" ref="Z70" ca="1">OFFSET(INDIRECT($E70),Z$47,OFFSET($P70,0,Z$50))</f>
        <v>5</v>
      </c>
      <c r="AA70" s="34">
        <f t="shared" ca="1" si="22"/>
        <v>5</v>
      </c>
      <c r="AB70" s="34">
        <f t="shared" ca="1" si="22"/>
        <v>106.72</v>
      </c>
      <c r="AC70" s="34">
        <f t="shared" ca="1" si="23"/>
        <v>0</v>
      </c>
      <c r="AD70" s="34">
        <f t="shared" ca="1" si="22"/>
        <v>5</v>
      </c>
      <c r="AE70" s="34">
        <f t="shared" ca="1" si="22"/>
        <v>106.72</v>
      </c>
      <c r="AF70" s="34">
        <f t="shared" ca="1" si="24"/>
        <v>0</v>
      </c>
      <c r="AG70" s="34" t="s">
        <v>79</v>
      </c>
      <c r="AH70" s="34" t="s">
        <v>37</v>
      </c>
      <c r="AI70" s="278" t="s">
        <v>510</v>
      </c>
    </row>
    <row r="71" spans="1:36">
      <c r="A71" s="34" t="str">
        <f t="shared" si="16"/>
        <v>Raw materialsManganeseTotal</v>
      </c>
      <c r="B71" s="34" t="s">
        <v>79</v>
      </c>
      <c r="C71" s="34" t="s">
        <v>37</v>
      </c>
      <c r="D71" s="34" t="s">
        <v>4</v>
      </c>
      <c r="E71" s="34" t="s">
        <v>468</v>
      </c>
      <c r="F71" s="34">
        <v>4</v>
      </c>
      <c r="G71" s="34">
        <v>4</v>
      </c>
      <c r="H71" s="34">
        <v>1</v>
      </c>
      <c r="I71" s="34" t="str">
        <f t="shared" ca="1" si="25"/>
        <v>The higher, the better</v>
      </c>
      <c r="J71" s="34" t="str" cm="1">
        <f t="array" aca="1" ref="J71" ca="1">IFERROR(VLOOKUP(OFFSET(INDIRECT(E71),0,P71),Dict!$A$52:$B$57,2,FALSE),OFFSET(INDIRECT(E71),0,P71))</f>
        <v>Score</v>
      </c>
      <c r="K71" s="34">
        <v>3</v>
      </c>
      <c r="L71" s="34">
        <v>3</v>
      </c>
      <c r="M71" s="34">
        <v>1</v>
      </c>
      <c r="N71" s="34">
        <v>2</v>
      </c>
      <c r="O71" s="34">
        <v>2</v>
      </c>
      <c r="P71" s="21">
        <f t="shared" si="26"/>
        <v>85</v>
      </c>
      <c r="Q71" s="21">
        <f t="shared" ref="Q71" si="31">P71+1</f>
        <v>86</v>
      </c>
      <c r="R71" s="34">
        <f t="shared" si="18"/>
        <v>87</v>
      </c>
      <c r="S71" s="34">
        <f t="shared" si="19"/>
        <v>88</v>
      </c>
      <c r="T71" s="34" cm="1">
        <f t="array" aca="1" ref="T71" ca="1">OFFSET(INDIRECT($E71),T$47,OFFSET($P71,0,T$50))</f>
        <v>3</v>
      </c>
      <c r="U71" s="34" cm="1">
        <f t="array" aca="1" ref="U71" ca="1">OFFSET(INDIRECT($E71),U$47,OFFSET($P71,0,U$50))</f>
        <v>12</v>
      </c>
      <c r="V71" s="34">
        <f t="shared" ca="1" si="20"/>
        <v>12</v>
      </c>
      <c r="W71" s="34">
        <f t="shared" ca="1" si="20"/>
        <v>12</v>
      </c>
      <c r="X71" s="34">
        <f t="shared" ca="1" si="21"/>
        <v>3</v>
      </c>
      <c r="Y71" s="34" cm="1">
        <f t="array" aca="1" ref="Y71" ca="1">OFFSET(INDIRECT($E71),Y$47,OFFSET($P71,0,Y$50))</f>
        <v>3</v>
      </c>
      <c r="Z71" s="34" cm="1">
        <f t="array" aca="1" ref="Z71" ca="1">OFFSET(INDIRECT($E71),Z$47,OFFSET($P71,0,Z$50))</f>
        <v>16</v>
      </c>
      <c r="AA71" s="34">
        <f t="shared" ca="1" si="22"/>
        <v>16</v>
      </c>
      <c r="AB71" s="34">
        <f t="shared" ca="1" si="22"/>
        <v>14</v>
      </c>
      <c r="AC71" s="34">
        <f t="shared" ca="1" si="23"/>
        <v>3</v>
      </c>
      <c r="AD71" s="34">
        <f t="shared" ca="1" si="22"/>
        <v>16</v>
      </c>
      <c r="AE71" s="34">
        <f t="shared" ca="1" si="22"/>
        <v>14</v>
      </c>
      <c r="AF71" s="34">
        <f t="shared" ca="1" si="24"/>
        <v>3</v>
      </c>
      <c r="AG71" s="34" t="s">
        <v>79</v>
      </c>
      <c r="AH71" s="21" t="s">
        <v>613</v>
      </c>
      <c r="AI71" s="34" t="s">
        <v>4</v>
      </c>
    </row>
    <row r="72" spans="1:36">
      <c r="A72" s="34" t="str">
        <f t="shared" si="16"/>
        <v>Raw materialsTotal</v>
      </c>
      <c r="B72" s="34" t="s">
        <v>79</v>
      </c>
      <c r="C72" s="34" t="s">
        <v>4</v>
      </c>
      <c r="E72" s="34" t="s">
        <v>468</v>
      </c>
      <c r="F72" s="34">
        <v>6</v>
      </c>
      <c r="G72" s="34">
        <v>1</v>
      </c>
      <c r="H72" s="34">
        <v>1</v>
      </c>
      <c r="I72" s="34" t="str">
        <f t="shared" ca="1" si="25"/>
        <v>The higher, the better</v>
      </c>
      <c r="J72" s="34" t="str" cm="1">
        <f t="array" aca="1" ref="J72" ca="1">IFERROR(VLOOKUP(OFFSET(INDIRECT(E72),0,P72),Dict!$A$52:$B$57,2,FALSE),OFFSET(INDIRECT(E72),0,P72))</f>
        <v>Score</v>
      </c>
      <c r="K72" s="34">
        <v>3</v>
      </c>
      <c r="L72" s="34">
        <v>3</v>
      </c>
      <c r="M72" s="34">
        <v>1</v>
      </c>
      <c r="N72" s="34">
        <v>2</v>
      </c>
      <c r="O72" s="34">
        <v>2</v>
      </c>
      <c r="P72" s="21">
        <f t="shared" si="26"/>
        <v>111</v>
      </c>
      <c r="Q72" s="21">
        <f t="shared" si="27"/>
        <v>112</v>
      </c>
      <c r="R72" s="34">
        <f t="shared" si="18"/>
        <v>113</v>
      </c>
      <c r="S72" s="34">
        <f t="shared" si="19"/>
        <v>114</v>
      </c>
      <c r="T72" s="34" cm="1">
        <f t="array" aca="1" ref="T72" ca="1">OFFSET(INDIRECT($E72),T$47,OFFSET($P72,0,T$50))</f>
        <v>5</v>
      </c>
      <c r="U72" s="34" cm="1">
        <f t="array" aca="1" ref="U72" ca="1">OFFSET(INDIRECT($E72),U$47,OFFSET($P72,0,U$50))</f>
        <v>11</v>
      </c>
      <c r="V72" s="34">
        <f t="shared" ref="V72:W91" ca="1" si="32">MAX(OFFSET(INDIRECT($E72),1,OFFSET($P72,0,V$50),Country_Count))</f>
        <v>26</v>
      </c>
      <c r="W72" s="34">
        <f t="shared" ca="1" si="32"/>
        <v>12.6</v>
      </c>
      <c r="X72" s="34">
        <f t="shared" ca="1" si="21"/>
        <v>3</v>
      </c>
      <c r="Y72" s="34" cm="1">
        <f t="array" aca="1" ref="Y72" ca="1">OFFSET(INDIRECT($E72),Y$47,OFFSET($P72,0,Y$50))</f>
        <v>4.4000000000000004</v>
      </c>
      <c r="Z72" s="34" cm="1">
        <f t="array" aca="1" ref="Z72" ca="1">OFFSET(INDIRECT($E72),Z$47,OFFSET($P72,0,Z$50))</f>
        <v>14</v>
      </c>
      <c r="AA72" s="34">
        <f t="shared" ref="AA72:AE91" ca="1" si="33">MAX(OFFSET(INDIRECT($E72),1,OFFSET($P72,0,AA$50),Country_Count))</f>
        <v>24</v>
      </c>
      <c r="AB72" s="34">
        <f t="shared" ca="1" si="33"/>
        <v>11.8</v>
      </c>
      <c r="AC72" s="34">
        <f t="shared" ca="1" si="23"/>
        <v>2.8</v>
      </c>
      <c r="AD72" s="34">
        <f t="shared" ca="1" si="33"/>
        <v>24</v>
      </c>
      <c r="AE72" s="34">
        <f t="shared" ca="1" si="33"/>
        <v>11.8</v>
      </c>
      <c r="AF72" s="34">
        <f t="shared" ca="1" si="24"/>
        <v>2.8</v>
      </c>
      <c r="AG72" s="34" t="s">
        <v>79</v>
      </c>
      <c r="AH72" s="34" t="s">
        <v>4</v>
      </c>
    </row>
    <row r="73" spans="1:36">
      <c r="A73" s="34" t="str">
        <f t="shared" si="16"/>
        <v>Battery manufacturingElectrolyte saltsTotal</v>
      </c>
      <c r="B73" s="34" t="s">
        <v>445</v>
      </c>
      <c r="C73" s="34" t="s">
        <v>448</v>
      </c>
      <c r="D73" s="564" t="s">
        <v>4</v>
      </c>
      <c r="E73" s="34" t="s">
        <v>469</v>
      </c>
      <c r="F73" s="34">
        <v>5</v>
      </c>
      <c r="G73" s="34">
        <v>1</v>
      </c>
      <c r="H73" s="34">
        <v>0</v>
      </c>
      <c r="I73" s="34" t="str">
        <f t="shared" si="25"/>
        <v>The higher, the better</v>
      </c>
      <c r="J73" s="34" t="str" cm="1">
        <f t="array" aca="1" ref="J73" ca="1">IFERROR(VLOOKUP(OFFSET(INDIRECT(E73),0,P73),Dict!$A$52:$B$57,2,FALSE),OFFSET(INDIRECT(E73),0,P73))</f>
        <v>Metric tons per year</v>
      </c>
      <c r="K73" s="34">
        <v>1</v>
      </c>
      <c r="L73" s="34">
        <v>3</v>
      </c>
      <c r="M73" s="34">
        <v>0</v>
      </c>
      <c r="N73" s="34">
        <v>0</v>
      </c>
      <c r="O73" s="34">
        <v>2</v>
      </c>
      <c r="P73" s="21">
        <f t="shared" si="26"/>
        <v>25</v>
      </c>
      <c r="Q73" s="21">
        <f t="shared" ref="Q73:Q115" si="34">P73+1</f>
        <v>26</v>
      </c>
      <c r="R73" s="34">
        <f t="shared" si="18"/>
        <v>28</v>
      </c>
      <c r="S73" s="34">
        <f t="shared" si="19"/>
        <v>29</v>
      </c>
      <c r="T73" s="34" cm="1">
        <f t="array" aca="1" ref="T73" ca="1">OFFSET(INDIRECT($E73),T$47,OFFSET($P73,0,T$50))</f>
        <v>0</v>
      </c>
      <c r="U73" s="34" cm="1">
        <f t="array" aca="1" ref="U73" ca="1">OFFSET(INDIRECT($E73),U$47,OFFSET($P73,0,U$50))</f>
        <v>5</v>
      </c>
      <c r="V73" s="34">
        <f t="shared" ca="1" si="32"/>
        <v>5</v>
      </c>
      <c r="W73" s="34">
        <f t="shared" ca="1" si="32"/>
        <v>100600</v>
      </c>
      <c r="X73" s="34">
        <f t="shared" ca="1" si="21"/>
        <v>0</v>
      </c>
      <c r="Y73" s="34" cm="1">
        <f t="array" aca="1" ref="Y73" ca="1">OFFSET(INDIRECT($E73),Y$47,OFFSET($P73,0,Y$50))</f>
        <v>0</v>
      </c>
      <c r="Z73" s="34" cm="1">
        <f t="array" aca="1" ref="Z73" ca="1">OFFSET(INDIRECT($E73),Z$47,OFFSET($P73,0,Z$50))</f>
        <v>5</v>
      </c>
      <c r="AA73" s="34">
        <f t="shared" ca="1" si="33"/>
        <v>5</v>
      </c>
      <c r="AB73" s="34">
        <f t="shared" ca="1" si="33"/>
        <v>492500</v>
      </c>
      <c r="AC73" s="34">
        <f t="shared" ca="1" si="23"/>
        <v>0</v>
      </c>
      <c r="AD73" s="34">
        <f t="shared" ca="1" si="33"/>
        <v>5</v>
      </c>
      <c r="AE73" s="34">
        <f t="shared" ca="1" si="33"/>
        <v>492500</v>
      </c>
      <c r="AF73" s="34">
        <f t="shared" ca="1" si="24"/>
        <v>0</v>
      </c>
      <c r="AG73" s="34" t="s">
        <v>445</v>
      </c>
      <c r="AH73" s="34" t="s">
        <v>448</v>
      </c>
      <c r="AI73" s="278" t="s">
        <v>516</v>
      </c>
      <c r="AJ73" s="542" t="s">
        <v>512</v>
      </c>
    </row>
    <row r="74" spans="1:36">
      <c r="A74" s="34" t="str">
        <f t="shared" si="16"/>
        <v>Battery manufacturingElectrolyteTotal</v>
      </c>
      <c r="B74" s="34" t="s">
        <v>445</v>
      </c>
      <c r="C74" s="21" t="s">
        <v>60</v>
      </c>
      <c r="D74" s="564" t="s">
        <v>4</v>
      </c>
      <c r="E74" s="34" t="s">
        <v>469</v>
      </c>
      <c r="F74" s="34">
        <v>4</v>
      </c>
      <c r="G74" s="34">
        <v>1</v>
      </c>
      <c r="H74" s="34">
        <v>0</v>
      </c>
      <c r="I74" s="34" t="str">
        <f t="shared" si="25"/>
        <v>The higher, the better</v>
      </c>
      <c r="J74" s="34" t="str" cm="1">
        <f t="array" aca="1" ref="J74" ca="1">IFERROR(VLOOKUP(OFFSET(INDIRECT(E74),0,P74),Dict!$A$52:$B$57,2,FALSE),OFFSET(INDIRECT(E74),0,P74))</f>
        <v>Metric tons per year</v>
      </c>
      <c r="K74" s="34">
        <v>1</v>
      </c>
      <c r="L74" s="34">
        <v>3</v>
      </c>
      <c r="M74" s="34">
        <v>0</v>
      </c>
      <c r="N74" s="34">
        <v>0</v>
      </c>
      <c r="O74" s="34">
        <v>2</v>
      </c>
      <c r="P74" s="21">
        <f t="shared" si="26"/>
        <v>19</v>
      </c>
      <c r="Q74" s="21">
        <f t="shared" si="34"/>
        <v>20</v>
      </c>
      <c r="R74" s="34">
        <f t="shared" si="18"/>
        <v>22</v>
      </c>
      <c r="S74" s="34">
        <f t="shared" si="19"/>
        <v>23</v>
      </c>
      <c r="T74" s="34" cm="1">
        <f t="array" aca="1" ref="T74" ca="1">OFFSET(INDIRECT($E74),T$47,OFFSET($P74,0,T$50))</f>
        <v>0</v>
      </c>
      <c r="U74" s="34" cm="1">
        <f t="array" aca="1" ref="U74" ca="1">OFFSET(INDIRECT($E74),U$47,OFFSET($P74,0,U$50))</f>
        <v>7</v>
      </c>
      <c r="V74" s="34">
        <f t="shared" ca="1" si="32"/>
        <v>7</v>
      </c>
      <c r="W74" s="34">
        <f t="shared" ca="1" si="32"/>
        <v>340000</v>
      </c>
      <c r="X74" s="34">
        <f t="shared" ca="1" si="21"/>
        <v>0</v>
      </c>
      <c r="Y74" s="34" cm="1">
        <f t="array" aca="1" ref="Y74" ca="1">OFFSET(INDIRECT($E74),Y$47,OFFSET($P74,0,Y$50))</f>
        <v>0</v>
      </c>
      <c r="Z74" s="34" cm="1">
        <f t="array" aca="1" ref="Z74" ca="1">OFFSET(INDIRECT($E74),Z$47,OFFSET($P74,0,Z$50))</f>
        <v>7</v>
      </c>
      <c r="AA74" s="34">
        <f t="shared" ca="1" si="33"/>
        <v>7</v>
      </c>
      <c r="AB74" s="34">
        <f t="shared" ca="1" si="33"/>
        <v>2123000</v>
      </c>
      <c r="AC74" s="34">
        <f t="shared" ca="1" si="23"/>
        <v>0</v>
      </c>
      <c r="AD74" s="34">
        <f t="shared" ca="1" si="33"/>
        <v>7</v>
      </c>
      <c r="AE74" s="34">
        <f t="shared" ca="1" si="33"/>
        <v>2123000</v>
      </c>
      <c r="AF74" s="34">
        <f t="shared" ca="1" si="24"/>
        <v>0</v>
      </c>
      <c r="AG74" s="34" t="s">
        <v>445</v>
      </c>
      <c r="AH74" s="21" t="s">
        <v>60</v>
      </c>
      <c r="AI74" s="278" t="s">
        <v>515</v>
      </c>
      <c r="AJ74" s="278" t="s">
        <v>513</v>
      </c>
    </row>
    <row r="75" spans="1:36">
      <c r="A75" s="34" t="str">
        <f t="shared" si="16"/>
        <v>Battery manufacturingCathode materialsTotal</v>
      </c>
      <c r="B75" s="34" t="s">
        <v>445</v>
      </c>
      <c r="C75" s="34" t="s">
        <v>447</v>
      </c>
      <c r="D75" s="564" t="s">
        <v>4</v>
      </c>
      <c r="E75" s="34" t="s">
        <v>469</v>
      </c>
      <c r="F75" s="34">
        <v>2</v>
      </c>
      <c r="G75" s="34">
        <v>1</v>
      </c>
      <c r="H75" s="34">
        <v>0</v>
      </c>
      <c r="I75" s="34" t="str">
        <f t="shared" si="25"/>
        <v>The higher, the better</v>
      </c>
      <c r="J75" s="34" t="str" cm="1">
        <f t="array" aca="1" ref="J75" ca="1">IFERROR(VLOOKUP(OFFSET(INDIRECT(E75),0,P75),Dict!$A$52:$B$57,2,FALSE),OFFSET(INDIRECT(E75),0,P75))</f>
        <v>Metric tons per year</v>
      </c>
      <c r="K75" s="34">
        <v>1</v>
      </c>
      <c r="L75" s="34">
        <v>3</v>
      </c>
      <c r="M75" s="34">
        <v>0</v>
      </c>
      <c r="N75" s="34">
        <v>0</v>
      </c>
      <c r="O75" s="34">
        <v>2</v>
      </c>
      <c r="P75" s="21">
        <f t="shared" si="26"/>
        <v>7</v>
      </c>
      <c r="Q75" s="21">
        <f t="shared" si="34"/>
        <v>8</v>
      </c>
      <c r="R75" s="34">
        <f t="shared" si="18"/>
        <v>10</v>
      </c>
      <c r="S75" s="34">
        <f t="shared" si="19"/>
        <v>11</v>
      </c>
      <c r="T75" s="34" cm="1">
        <f t="array" aca="1" ref="T75" ca="1">OFFSET(INDIRECT($E75),T$47,OFFSET($P75,0,T$50))</f>
        <v>0</v>
      </c>
      <c r="U75" s="34" cm="1">
        <f t="array" aca="1" ref="U75" ca="1">OFFSET(INDIRECT($E75),U$47,OFFSET($P75,0,U$50))</f>
        <v>9</v>
      </c>
      <c r="V75" s="34">
        <f t="shared" ca="1" si="32"/>
        <v>9</v>
      </c>
      <c r="W75" s="34">
        <f t="shared" ca="1" si="32"/>
        <v>1195590</v>
      </c>
      <c r="X75" s="34">
        <f t="shared" ca="1" si="21"/>
        <v>0</v>
      </c>
      <c r="Y75" s="34" cm="1">
        <f t="array" aca="1" ref="Y75" ca="1">OFFSET(INDIRECT($E75),Y$47,OFFSET($P75,0,Y$50))</f>
        <v>0</v>
      </c>
      <c r="Z75" s="34" cm="1">
        <f t="array" aca="1" ref="Z75" ca="1">OFFSET(INDIRECT($E75),Z$47,OFFSET($P75,0,Z$50))</f>
        <v>10</v>
      </c>
      <c r="AA75" s="34">
        <f t="shared" ca="1" si="33"/>
        <v>10</v>
      </c>
      <c r="AB75" s="34">
        <f t="shared" ca="1" si="33"/>
        <v>4975600</v>
      </c>
      <c r="AC75" s="34">
        <f t="shared" ca="1" si="23"/>
        <v>0</v>
      </c>
      <c r="AD75" s="34">
        <f t="shared" ca="1" si="33"/>
        <v>10</v>
      </c>
      <c r="AE75" s="34">
        <f t="shared" ca="1" si="33"/>
        <v>4975600</v>
      </c>
      <c r="AF75" s="34">
        <f t="shared" ca="1" si="24"/>
        <v>0</v>
      </c>
      <c r="AG75" s="34" t="s">
        <v>445</v>
      </c>
      <c r="AH75" s="34" t="s">
        <v>447</v>
      </c>
      <c r="AI75" s="278" t="s">
        <v>513</v>
      </c>
      <c r="AJ75" s="278" t="s">
        <v>64</v>
      </c>
    </row>
    <row r="76" spans="1:36">
      <c r="A76" s="34" t="str">
        <f t="shared" si="16"/>
        <v>Battery manufacturingAnode materialsTotal</v>
      </c>
      <c r="B76" s="34" t="s">
        <v>445</v>
      </c>
      <c r="C76" s="34" t="s">
        <v>357</v>
      </c>
      <c r="D76" s="564" t="s">
        <v>4</v>
      </c>
      <c r="E76" s="34" t="s">
        <v>469</v>
      </c>
      <c r="F76" s="34">
        <v>3</v>
      </c>
      <c r="G76" s="34">
        <v>1</v>
      </c>
      <c r="H76" s="34">
        <v>0</v>
      </c>
      <c r="I76" s="34" t="str">
        <f t="shared" si="25"/>
        <v>The higher, the better</v>
      </c>
      <c r="J76" s="34" t="str" cm="1">
        <f t="array" aca="1" ref="J76" ca="1">IFERROR(VLOOKUP(OFFSET(INDIRECT(E76),0,P76),Dict!$A$52:$B$57,2,FALSE),OFFSET(INDIRECT(E76),0,P76))</f>
        <v>Metric tons per year</v>
      </c>
      <c r="K76" s="34">
        <v>1</v>
      </c>
      <c r="L76" s="34">
        <v>3</v>
      </c>
      <c r="M76" s="34">
        <v>0</v>
      </c>
      <c r="N76" s="34">
        <v>0</v>
      </c>
      <c r="O76" s="34">
        <v>2</v>
      </c>
      <c r="P76" s="21">
        <f t="shared" si="26"/>
        <v>13</v>
      </c>
      <c r="Q76" s="21">
        <f t="shared" si="34"/>
        <v>14</v>
      </c>
      <c r="R76" s="34">
        <f t="shared" si="18"/>
        <v>16</v>
      </c>
      <c r="S76" s="34">
        <f t="shared" si="19"/>
        <v>17</v>
      </c>
      <c r="T76" s="34" cm="1">
        <f t="array" aca="1" ref="T76" ca="1">OFFSET(INDIRECT($E76),T$47,OFFSET($P76,0,T$50))</f>
        <v>0</v>
      </c>
      <c r="U76" s="34" cm="1">
        <f t="array" aca="1" ref="U76" ca="1">OFFSET(INDIRECT($E76),U$47,OFFSET($P76,0,U$50))</f>
        <v>7</v>
      </c>
      <c r="V76" s="34">
        <f t="shared" ca="1" si="32"/>
        <v>7</v>
      </c>
      <c r="W76" s="34">
        <f t="shared" ca="1" si="32"/>
        <v>862980</v>
      </c>
      <c r="X76" s="34">
        <f t="shared" ca="1" si="21"/>
        <v>0</v>
      </c>
      <c r="Y76" s="34" cm="1">
        <f t="array" aca="1" ref="Y76" ca="1">OFFSET(INDIRECT($E76),Y$47,OFFSET($P76,0,Y$50))</f>
        <v>0</v>
      </c>
      <c r="Z76" s="34" cm="1">
        <f t="array" aca="1" ref="Z76" ca="1">OFFSET(INDIRECT($E76),Z$47,OFFSET($P76,0,Z$50))</f>
        <v>8</v>
      </c>
      <c r="AA76" s="34">
        <f t="shared" ca="1" si="33"/>
        <v>8</v>
      </c>
      <c r="AB76" s="34">
        <f t="shared" ca="1" si="33"/>
        <v>4595680</v>
      </c>
      <c r="AC76" s="34">
        <f t="shared" ca="1" si="23"/>
        <v>0</v>
      </c>
      <c r="AD76" s="34">
        <f t="shared" ca="1" si="33"/>
        <v>8</v>
      </c>
      <c r="AE76" s="34">
        <f t="shared" ca="1" si="33"/>
        <v>4595680</v>
      </c>
      <c r="AF76" s="34">
        <f t="shared" ca="1" si="24"/>
        <v>0</v>
      </c>
      <c r="AG76" s="34" t="s">
        <v>445</v>
      </c>
      <c r="AH76" s="34" t="s">
        <v>357</v>
      </c>
      <c r="AI76" s="542" t="s">
        <v>512</v>
      </c>
      <c r="AJ76" s="278" t="s">
        <v>514</v>
      </c>
    </row>
    <row r="77" spans="1:36">
      <c r="A77" s="34" t="str">
        <f t="shared" si="16"/>
        <v>Battery manufacturingSeparatorTotal</v>
      </c>
      <c r="B77" s="34" t="s">
        <v>445</v>
      </c>
      <c r="C77" s="34" t="s">
        <v>271</v>
      </c>
      <c r="D77" s="564" t="s">
        <v>4</v>
      </c>
      <c r="E77" s="34" t="s">
        <v>469</v>
      </c>
      <c r="F77" s="34">
        <v>6</v>
      </c>
      <c r="G77" s="34">
        <v>1</v>
      </c>
      <c r="H77" s="34">
        <v>0</v>
      </c>
      <c r="I77" s="34" t="str">
        <f t="shared" ca="1" si="25"/>
        <v>The higher, the better</v>
      </c>
      <c r="J77" s="34" t="str" cm="1">
        <f t="array" aca="1" ref="J77" ca="1">IFERROR(VLOOKUP(OFFSET(INDIRECT(E77),0,P77),Dict!$A$52:$B$57,2,FALSE),OFFSET(INDIRECT(E77),0,P77))</f>
        <v>Million square meters per year</v>
      </c>
      <c r="K77" s="34">
        <v>1</v>
      </c>
      <c r="L77" s="34">
        <v>3</v>
      </c>
      <c r="M77" s="34">
        <v>0</v>
      </c>
      <c r="N77" s="34">
        <v>0</v>
      </c>
      <c r="O77" s="34">
        <v>2</v>
      </c>
      <c r="P77" s="21">
        <f t="shared" si="26"/>
        <v>31</v>
      </c>
      <c r="Q77" s="21">
        <f t="shared" si="34"/>
        <v>32</v>
      </c>
      <c r="R77" s="34">
        <f t="shared" si="18"/>
        <v>34</v>
      </c>
      <c r="S77" s="34">
        <f t="shared" si="19"/>
        <v>35</v>
      </c>
      <c r="T77" s="34" cm="1">
        <f t="array" aca="1" ref="T77" ca="1">OFFSET(INDIRECT($E77),T$47,OFFSET($P77,0,T$50))</f>
        <v>0</v>
      </c>
      <c r="U77" s="34" cm="1">
        <f t="array" aca="1" ref="U77" ca="1">OFFSET(INDIRECT($E77),U$47,OFFSET($P77,0,U$50))</f>
        <v>7</v>
      </c>
      <c r="V77" s="34">
        <f t="shared" ca="1" si="32"/>
        <v>7</v>
      </c>
      <c r="W77" s="34">
        <f t="shared" ca="1" si="32"/>
        <v>6906</v>
      </c>
      <c r="X77" s="34">
        <f t="shared" ca="1" si="21"/>
        <v>0</v>
      </c>
      <c r="Y77" s="34" cm="1">
        <f t="array" aca="1" ref="Y77" ca="1">OFFSET(INDIRECT($E77),Y$47,OFFSET($P77,0,Y$50))</f>
        <v>0</v>
      </c>
      <c r="Z77" s="34" cm="1">
        <f t="array" aca="1" ref="Z77" ca="1">OFFSET(INDIRECT($E77),Z$47,OFFSET($P77,0,Z$50))</f>
        <v>7</v>
      </c>
      <c r="AA77" s="34">
        <f t="shared" ca="1" si="33"/>
        <v>7</v>
      </c>
      <c r="AB77" s="34">
        <f t="shared" ca="1" si="33"/>
        <v>15451</v>
      </c>
      <c r="AC77" s="34">
        <f t="shared" ca="1" si="23"/>
        <v>0</v>
      </c>
      <c r="AD77" s="34">
        <f t="shared" ca="1" si="33"/>
        <v>7</v>
      </c>
      <c r="AE77" s="34">
        <f t="shared" ca="1" si="33"/>
        <v>15451</v>
      </c>
      <c r="AF77" s="34">
        <f t="shared" ca="1" si="24"/>
        <v>0</v>
      </c>
      <c r="AG77" s="34" t="s">
        <v>445</v>
      </c>
      <c r="AH77" s="34" t="s">
        <v>63</v>
      </c>
      <c r="AI77" s="548" t="s">
        <v>517</v>
      </c>
      <c r="AJ77" s="278" t="s">
        <v>515</v>
      </c>
    </row>
    <row r="78" spans="1:36">
      <c r="A78" s="34" t="str">
        <f t="shared" si="16"/>
        <v>Battery manufacturingCellTotal</v>
      </c>
      <c r="B78" s="34" t="s">
        <v>445</v>
      </c>
      <c r="C78" s="34" t="s">
        <v>500</v>
      </c>
      <c r="D78" s="564" t="s">
        <v>4</v>
      </c>
      <c r="E78" s="34" t="s">
        <v>469</v>
      </c>
      <c r="F78" s="34">
        <v>1</v>
      </c>
      <c r="G78" s="34">
        <v>1</v>
      </c>
      <c r="H78" s="34">
        <v>0</v>
      </c>
      <c r="I78" s="34" t="str">
        <f t="shared" si="25"/>
        <v>The higher, the better</v>
      </c>
      <c r="J78" s="34" t="str" cm="1">
        <f t="array" aca="1" ref="J78" ca="1">IFERROR(VLOOKUP(OFFSET(INDIRECT(E78),0,P78),Dict!$A$52:$B$57,2,FALSE),OFFSET(INDIRECT(E78),0,P78))</f>
        <v>Gigawatt-hours per year</v>
      </c>
      <c r="K78" s="34">
        <v>1</v>
      </c>
      <c r="L78" s="34">
        <v>3</v>
      </c>
      <c r="M78" s="34">
        <v>0</v>
      </c>
      <c r="N78" s="34">
        <v>0</v>
      </c>
      <c r="O78" s="34">
        <v>2</v>
      </c>
      <c r="P78" s="21">
        <f t="shared" si="26"/>
        <v>1</v>
      </c>
      <c r="Q78" s="21">
        <f t="shared" si="34"/>
        <v>2</v>
      </c>
      <c r="R78" s="34">
        <f t="shared" si="18"/>
        <v>4</v>
      </c>
      <c r="S78" s="34">
        <f t="shared" si="19"/>
        <v>5</v>
      </c>
      <c r="T78" s="34" cm="1">
        <f t="array" aca="1" ref="T78" ca="1">OFFSET(INDIRECT($E78),T$47,OFFSET($P78,0,T$50))</f>
        <v>0</v>
      </c>
      <c r="U78" s="34" cm="1">
        <f t="array" aca="1" ref="U78" ca="1">OFFSET(INDIRECT($E78),U$47,OFFSET($P78,0,U$50))</f>
        <v>13</v>
      </c>
      <c r="V78" s="34">
        <f t="shared" ca="1" si="32"/>
        <v>13</v>
      </c>
      <c r="W78" s="34">
        <f t="shared" ca="1" si="32"/>
        <v>861.6</v>
      </c>
      <c r="X78" s="34">
        <f t="shared" ca="1" si="21"/>
        <v>0</v>
      </c>
      <c r="Y78" s="34" cm="1">
        <f t="array" aca="1" ref="Y78" ca="1">OFFSET(INDIRECT($E78),Y$47,OFFSET($P78,0,Y$50))</f>
        <v>0</v>
      </c>
      <c r="Z78" s="34" cm="1">
        <f t="array" aca="1" ref="Z78" ca="1">OFFSET(INDIRECT($E78),Z$47,OFFSET($P78,0,Z$50))</f>
        <v>20</v>
      </c>
      <c r="AA78" s="34">
        <f t="shared" ca="1" si="33"/>
        <v>20</v>
      </c>
      <c r="AB78" s="34">
        <f t="shared" ca="1" si="33"/>
        <v>2053.87</v>
      </c>
      <c r="AC78" s="34">
        <f t="shared" ca="1" si="23"/>
        <v>0</v>
      </c>
      <c r="AD78" s="34">
        <f t="shared" ca="1" si="33"/>
        <v>20</v>
      </c>
      <c r="AE78" s="34">
        <f t="shared" ca="1" si="33"/>
        <v>2053.87</v>
      </c>
      <c r="AF78" s="34">
        <f t="shared" ca="1" si="24"/>
        <v>0</v>
      </c>
      <c r="AG78" s="34" t="s">
        <v>445</v>
      </c>
      <c r="AH78" s="34" t="s">
        <v>500</v>
      </c>
      <c r="AI78" s="278" t="s">
        <v>64</v>
      </c>
      <c r="AJ78" s="278" t="s">
        <v>516</v>
      </c>
    </row>
    <row r="79" spans="1:36">
      <c r="A79" s="34" t="str">
        <f t="shared" si="16"/>
        <v>Battery manufacturingDisassembly and recyclingTotal</v>
      </c>
      <c r="B79" s="34" t="s">
        <v>445</v>
      </c>
      <c r="C79" s="21" t="s">
        <v>360</v>
      </c>
      <c r="D79" s="564" t="s">
        <v>4</v>
      </c>
      <c r="E79" s="34" t="s">
        <v>469</v>
      </c>
      <c r="F79" s="34">
        <v>7</v>
      </c>
      <c r="G79" s="34">
        <v>1</v>
      </c>
      <c r="H79" s="34">
        <v>0</v>
      </c>
      <c r="I79" s="34" t="str">
        <f t="shared" si="25"/>
        <v>The higher, the better</v>
      </c>
      <c r="J79" s="34" t="str" cm="1">
        <f t="array" aca="1" ref="J79" ca="1">IFERROR(VLOOKUP(OFFSET(INDIRECT(E79),0,P79),Dict!$A$52:$B$57,2,FALSE),OFFSET(INDIRECT(E79),0,P79))</f>
        <v>Metric tons per year</v>
      </c>
      <c r="K79" s="34">
        <v>1</v>
      </c>
      <c r="L79" s="34">
        <v>3</v>
      </c>
      <c r="M79" s="34">
        <v>0</v>
      </c>
      <c r="N79" s="34">
        <v>0</v>
      </c>
      <c r="O79" s="34">
        <v>2</v>
      </c>
      <c r="P79" s="21">
        <f t="shared" si="26"/>
        <v>37</v>
      </c>
      <c r="Q79" s="21">
        <f t="shared" si="34"/>
        <v>38</v>
      </c>
      <c r="R79" s="34">
        <f t="shared" si="18"/>
        <v>40</v>
      </c>
      <c r="S79" s="34">
        <f t="shared" si="19"/>
        <v>41</v>
      </c>
      <c r="T79" s="34" cm="1">
        <f t="array" aca="1" ref="T79" ca="1">OFFSET(INDIRECT($E79),T$47,OFFSET($P79,0,T$50))</f>
        <v>0</v>
      </c>
      <c r="U79" s="34" cm="1">
        <f t="array" aca="1" ref="U79" ca="1">OFFSET(INDIRECT($E79),U$47,OFFSET($P79,0,U$50))</f>
        <v>9</v>
      </c>
      <c r="V79" s="34">
        <f t="shared" ca="1" si="32"/>
        <v>9</v>
      </c>
      <c r="W79" s="34">
        <f t="shared" ca="1" si="32"/>
        <v>487</v>
      </c>
      <c r="X79" s="34">
        <f t="shared" ca="1" si="21"/>
        <v>0</v>
      </c>
      <c r="Y79" s="34" cm="1">
        <f t="array" aca="1" ref="Y79" ca="1">OFFSET(INDIRECT($E79),Y$47,OFFSET($P79,0,Y$50))</f>
        <v>0</v>
      </c>
      <c r="Z79" s="34" cm="1">
        <f t="array" aca="1" ref="Z79" ca="1">OFFSET(INDIRECT($E79),Z$47,OFFSET($P79,0,Z$50))</f>
        <v>10</v>
      </c>
      <c r="AA79" s="34">
        <f t="shared" ca="1" si="33"/>
        <v>10</v>
      </c>
      <c r="AB79" s="34">
        <f t="shared" ca="1" si="33"/>
        <v>1894580</v>
      </c>
      <c r="AC79" s="34">
        <f t="shared" ca="1" si="23"/>
        <v>0</v>
      </c>
      <c r="AD79" s="34">
        <f t="shared" ca="1" si="33"/>
        <v>10</v>
      </c>
      <c r="AE79" s="34">
        <f t="shared" ca="1" si="33"/>
        <v>1894580</v>
      </c>
      <c r="AF79" s="34">
        <f t="shared" ca="1" si="24"/>
        <v>0</v>
      </c>
      <c r="AG79" s="34" t="s">
        <v>445</v>
      </c>
      <c r="AH79" s="21" t="s">
        <v>360</v>
      </c>
      <c r="AI79" s="278" t="s">
        <v>514</v>
      </c>
      <c r="AJ79" s="548" t="s">
        <v>517</v>
      </c>
    </row>
    <row r="80" spans="1:36">
      <c r="A80" s="34" t="str">
        <f t="shared" si="16"/>
        <v>Battery manufacturingTotal</v>
      </c>
      <c r="B80" s="34" t="s">
        <v>445</v>
      </c>
      <c r="C80" s="34" t="s">
        <v>4</v>
      </c>
      <c r="E80" s="34" t="s">
        <v>469</v>
      </c>
      <c r="F80" s="34">
        <v>8</v>
      </c>
      <c r="G80" s="34">
        <v>1</v>
      </c>
      <c r="H80" s="34">
        <v>1</v>
      </c>
      <c r="I80" s="34" t="str">
        <f t="shared" ca="1" si="25"/>
        <v>The higher, the better</v>
      </c>
      <c r="J80" s="34" t="str" cm="1">
        <f t="array" aca="1" ref="J80" ca="1">IFERROR(VLOOKUP(OFFSET(INDIRECT(E80),0,P80),Dict!$A$52:$B$57,2,FALSE),OFFSET(INDIRECT(E80),0,P80))</f>
        <v>Score</v>
      </c>
      <c r="K80" s="34">
        <v>1</v>
      </c>
      <c r="L80" s="34">
        <v>3</v>
      </c>
      <c r="M80" s="34">
        <v>0</v>
      </c>
      <c r="N80" s="34">
        <v>2</v>
      </c>
      <c r="O80" s="34">
        <v>2</v>
      </c>
      <c r="P80" s="21">
        <f t="shared" si="26"/>
        <v>43</v>
      </c>
      <c r="Q80" s="21">
        <f t="shared" si="34"/>
        <v>44</v>
      </c>
      <c r="R80" s="34">
        <f t="shared" si="18"/>
        <v>45</v>
      </c>
      <c r="S80" s="34">
        <f t="shared" si="19"/>
        <v>46</v>
      </c>
      <c r="T80" s="34" cm="1">
        <f t="array" aca="1" ref="T80" ca="1">OFFSET(INDIRECT($E80),T$47,OFFSET($P80,0,T$50))</f>
        <v>1</v>
      </c>
      <c r="U80" s="34" cm="1">
        <f t="array" aca="1" ref="U80" ca="1">OFFSET(INDIRECT($E80),U$47,OFFSET($P80,0,U$50))</f>
        <v>18</v>
      </c>
      <c r="V80" s="34">
        <f t="shared" ca="1" si="32"/>
        <v>18</v>
      </c>
      <c r="W80" s="34">
        <f t="shared" ca="1" si="32"/>
        <v>5</v>
      </c>
      <c r="X80" s="34">
        <f t="shared" ca="1" si="21"/>
        <v>1</v>
      </c>
      <c r="Y80" s="34" cm="1">
        <f t="array" aca="1" ref="Y80" ca="1">OFFSET(INDIRECT($E80),Y$47,OFFSET($P80,0,Y$50))</f>
        <v>1</v>
      </c>
      <c r="Z80" s="34" cm="1">
        <f t="array" aca="1" ref="Z80" ca="1">OFFSET(INDIRECT($E80),Z$47,OFFSET($P80,0,Z$50))</f>
        <v>20</v>
      </c>
      <c r="AA80" s="34">
        <f t="shared" ca="1" si="33"/>
        <v>20</v>
      </c>
      <c r="AB80" s="34">
        <f t="shared" ca="1" si="33"/>
        <v>5</v>
      </c>
      <c r="AC80" s="34">
        <f t="shared" ca="1" si="23"/>
        <v>1</v>
      </c>
      <c r="AD80" s="34">
        <f t="shared" ca="1" si="33"/>
        <v>20</v>
      </c>
      <c r="AE80" s="34">
        <f t="shared" ca="1" si="33"/>
        <v>5</v>
      </c>
      <c r="AF80" s="34">
        <f t="shared" ca="1" si="24"/>
        <v>1</v>
      </c>
      <c r="AG80" s="34" t="s">
        <v>445</v>
      </c>
      <c r="AH80" s="34" t="s">
        <v>4</v>
      </c>
    </row>
    <row r="81" spans="1:35">
      <c r="A81" s="34" t="str">
        <f t="shared" si="16"/>
        <v>ESGEnvironmentalRenewable energy policy</v>
      </c>
      <c r="B81" s="34" t="s">
        <v>406</v>
      </c>
      <c r="C81" s="34" t="s">
        <v>408</v>
      </c>
      <c r="D81" s="21" t="s">
        <v>526</v>
      </c>
      <c r="E81" s="34" t="s">
        <v>470</v>
      </c>
      <c r="F81" s="34">
        <v>1</v>
      </c>
      <c r="G81" s="34">
        <v>1</v>
      </c>
      <c r="H81" s="34">
        <v>0</v>
      </c>
      <c r="I81" s="34" t="str">
        <f t="shared" si="25"/>
        <v>The higher, the better</v>
      </c>
      <c r="J81" s="34" t="str" cm="1">
        <f t="array" aca="1" ref="J81" ca="1">IFERROR(VLOOKUP(OFFSET(INDIRECT(E81),0,P81),Dict!$A$52:$B$57,2,FALSE),OFFSET(INDIRECT(E81),0,P81))</f>
        <v>Score</v>
      </c>
      <c r="K81" s="34">
        <v>1</v>
      </c>
      <c r="L81" s="34">
        <v>2</v>
      </c>
      <c r="M81" s="34">
        <v>0</v>
      </c>
      <c r="N81" s="34">
        <v>2</v>
      </c>
      <c r="O81" s="34">
        <v>2</v>
      </c>
      <c r="P81" s="21">
        <f t="shared" si="26"/>
        <v>1</v>
      </c>
      <c r="Q81" s="21">
        <f t="shared" si="34"/>
        <v>2</v>
      </c>
      <c r="R81" s="34">
        <f t="shared" si="18"/>
        <v>3</v>
      </c>
      <c r="S81" s="34">
        <f t="shared" si="19"/>
        <v>4</v>
      </c>
      <c r="T81" s="34" cm="1">
        <f t="array" aca="1" ref="T81" ca="1">OFFSET(INDIRECT($E81),T$47,OFFSET($P81,0,T$50))</f>
        <v>102.63</v>
      </c>
      <c r="U81" s="34" cm="1">
        <f t="array" aca="1" ref="U81" ca="1">OFFSET(INDIRECT($E81),U$47,OFFSET($P81,0,U$50))</f>
        <v>7</v>
      </c>
      <c r="V81" s="34">
        <f t="shared" ca="1" si="32"/>
        <v>30</v>
      </c>
      <c r="W81" s="34">
        <f t="shared" ca="1" si="32"/>
        <v>117.07</v>
      </c>
      <c r="X81" s="34">
        <f t="shared" ca="1" si="21"/>
        <v>12.59</v>
      </c>
      <c r="Y81" s="34" cm="1">
        <f t="array" aca="1" ref="Y81" ca="1">OFFSET(INDIRECT($E81),Y$47,OFFSET($P81,0,Y$50))</f>
        <v>104.55</v>
      </c>
      <c r="Z81" s="34" cm="1">
        <f t="array" aca="1" ref="Z81" ca="1">OFFSET(INDIRECT($E81),Z$47,OFFSET($P81,0,Z$50))</f>
        <v>13</v>
      </c>
      <c r="AA81" s="34">
        <f t="shared" ca="1" si="33"/>
        <v>30</v>
      </c>
      <c r="AB81" s="34">
        <f t="shared" ca="1" si="33"/>
        <v>145.93</v>
      </c>
      <c r="AC81" s="34">
        <f t="shared" ca="1" si="23"/>
        <v>15.21</v>
      </c>
      <c r="AD81" s="34">
        <f t="shared" ca="1" si="33"/>
        <v>30</v>
      </c>
      <c r="AE81" s="34">
        <f t="shared" ca="1" si="33"/>
        <v>145.93</v>
      </c>
      <c r="AF81" s="34">
        <f t="shared" ca="1" si="24"/>
        <v>15.21</v>
      </c>
      <c r="AG81" s="34" t="s">
        <v>406</v>
      </c>
      <c r="AH81" s="34" t="s">
        <v>408</v>
      </c>
      <c r="AI81" s="21" t="s">
        <v>526</v>
      </c>
    </row>
    <row r="82" spans="1:35">
      <c r="A82" s="34" t="str">
        <f t="shared" si="16"/>
        <v>ESGEnvironmentalGrid carbon intensity</v>
      </c>
      <c r="B82" s="34" t="s">
        <v>406</v>
      </c>
      <c r="C82" s="34" t="s">
        <v>408</v>
      </c>
      <c r="D82" s="21" t="s">
        <v>524</v>
      </c>
      <c r="E82" s="34" t="s">
        <v>470</v>
      </c>
      <c r="F82" s="34">
        <v>2</v>
      </c>
      <c r="G82" s="34">
        <v>1</v>
      </c>
      <c r="H82" s="34">
        <v>0</v>
      </c>
      <c r="I82" s="34" t="str">
        <f t="shared" si="25"/>
        <v>The lower, the better</v>
      </c>
      <c r="J82" s="34" t="str" cm="1">
        <f t="array" aca="1" ref="J82" ca="1">IFERROR(VLOOKUP(OFFSET(INDIRECT(E82),0,P82),Dict!$A$52:$B$57,2,FALSE),OFFSET(INDIRECT(E82),0,P82))</f>
        <v>Grams of CO2 equivalent per kilowatt-hour</v>
      </c>
      <c r="K82" s="34">
        <v>1</v>
      </c>
      <c r="L82" s="34">
        <v>2</v>
      </c>
      <c r="M82" s="34">
        <v>0</v>
      </c>
      <c r="N82" s="34">
        <v>2</v>
      </c>
      <c r="O82" s="34">
        <v>2</v>
      </c>
      <c r="P82" s="21">
        <f t="shared" si="26"/>
        <v>5</v>
      </c>
      <c r="Q82" s="21">
        <f t="shared" si="34"/>
        <v>6</v>
      </c>
      <c r="R82" s="34">
        <f t="shared" si="18"/>
        <v>7</v>
      </c>
      <c r="S82" s="34">
        <f t="shared" si="19"/>
        <v>8</v>
      </c>
      <c r="T82" s="34" cm="1">
        <f t="array" aca="1" ref="T82" ca="1">OFFSET(INDIRECT($E82),T$47,OFFSET($P82,0,T$50))</f>
        <v>458.72530076301427</v>
      </c>
      <c r="U82" s="34" cm="1">
        <f t="array" aca="1" ref="U82" ca="1">OFFSET(INDIRECT($E82),U$47,OFFSET($P82,0,U$50))</f>
        <v>12</v>
      </c>
      <c r="V82" s="34">
        <f t="shared" ca="1" si="32"/>
        <v>30</v>
      </c>
      <c r="W82" s="34">
        <f t="shared" ca="1" si="32"/>
        <v>1321.6469172764027</v>
      </c>
      <c r="X82" s="34">
        <f t="shared" ca="1" si="21"/>
        <v>1.8539117538005192</v>
      </c>
      <c r="Y82" s="34" cm="1">
        <f t="array" aca="1" ref="Y82" ca="1">OFFSET(INDIRECT($E82),Y$47,OFFSET($P82,0,Y$50))</f>
        <v>361.16</v>
      </c>
      <c r="Z82" s="34" cm="1">
        <f t="array" aca="1" ref="Z82" ca="1">OFFSET(INDIRECT($E82),Z$47,OFFSET($P82,0,Z$50))</f>
        <v>13</v>
      </c>
      <c r="AA82" s="34">
        <f t="shared" ca="1" si="33"/>
        <v>30</v>
      </c>
      <c r="AB82" s="34">
        <f t="shared" ca="1" si="33"/>
        <v>841.3</v>
      </c>
      <c r="AC82" s="34">
        <f t="shared" ca="1" si="23"/>
        <v>1.46</v>
      </c>
      <c r="AD82" s="34">
        <f t="shared" ca="1" si="33"/>
        <v>30</v>
      </c>
      <c r="AE82" s="34">
        <f t="shared" ca="1" si="33"/>
        <v>841.3</v>
      </c>
      <c r="AF82" s="34">
        <f t="shared" ca="1" si="24"/>
        <v>1.46</v>
      </c>
      <c r="AG82" s="34" t="s">
        <v>406</v>
      </c>
      <c r="AH82" s="34" t="s">
        <v>408</v>
      </c>
      <c r="AI82" s="21" t="s">
        <v>524</v>
      </c>
    </row>
    <row r="83" spans="1:35">
      <c r="A83" s="34" t="str">
        <f t="shared" si="16"/>
        <v>ESGEnvironmentalCarbon prices</v>
      </c>
      <c r="B83" s="34" t="s">
        <v>406</v>
      </c>
      <c r="C83" s="34" t="s">
        <v>408</v>
      </c>
      <c r="D83" s="21" t="s">
        <v>601</v>
      </c>
      <c r="E83" s="34" t="s">
        <v>470</v>
      </c>
      <c r="F83" s="34">
        <v>3</v>
      </c>
      <c r="G83" s="34">
        <v>1</v>
      </c>
      <c r="H83" s="34">
        <v>0</v>
      </c>
      <c r="I83" s="34" t="str">
        <f t="shared" si="25"/>
        <v>The higher, the better</v>
      </c>
      <c r="J83" s="34" t="str" cm="1">
        <f t="array" aca="1" ref="J83" ca="1">IFERROR(VLOOKUP(OFFSET(INDIRECT(E83),0,P83),Dict!$A$52:$B$57,2,FALSE),OFFSET(INDIRECT(E83),0,P83))</f>
        <v>Score</v>
      </c>
      <c r="K83" s="34">
        <v>1</v>
      </c>
      <c r="L83" s="34">
        <v>2</v>
      </c>
      <c r="M83" s="34">
        <v>0</v>
      </c>
      <c r="N83" s="34">
        <v>2</v>
      </c>
      <c r="O83" s="34">
        <v>2</v>
      </c>
      <c r="P83" s="21">
        <f t="shared" si="26"/>
        <v>9</v>
      </c>
      <c r="Q83" s="21">
        <f t="shared" si="34"/>
        <v>10</v>
      </c>
      <c r="R83" s="34">
        <f t="shared" si="18"/>
        <v>11</v>
      </c>
      <c r="S83" s="34">
        <f t="shared" si="19"/>
        <v>12</v>
      </c>
      <c r="T83" s="34" cm="1">
        <f t="array" aca="1" ref="T83" ca="1">OFFSET(INDIRECT($E83),T$47,OFFSET($P83,0,T$50))</f>
        <v>50</v>
      </c>
      <c r="U83" s="34" cm="1">
        <f t="array" aca="1" ref="U83" ca="1">OFFSET(INDIRECT($E83),U$47,OFFSET($P83,0,U$50))</f>
        <v>17</v>
      </c>
      <c r="V83" s="34">
        <f t="shared" ca="1" si="32"/>
        <v>18</v>
      </c>
      <c r="W83" s="34">
        <f t="shared" ca="1" si="32"/>
        <v>6867.2999999999993</v>
      </c>
      <c r="X83" s="34">
        <f t="shared" ca="1" si="21"/>
        <v>0</v>
      </c>
      <c r="Y83" s="34" cm="1">
        <f t="array" aca="1" ref="Y83" ca="1">OFFSET(INDIRECT($E83),Y$47,OFFSET($P83,0,Y$50))</f>
        <v>120</v>
      </c>
      <c r="Z83" s="34" cm="1">
        <f t="array" aca="1" ref="Z83" ca="1">OFFSET(INDIRECT($E83),Z$47,OFFSET($P83,0,Z$50))</f>
        <v>19</v>
      </c>
      <c r="AA83" s="34">
        <f t="shared" ca="1" si="33"/>
        <v>25</v>
      </c>
      <c r="AB83" s="34">
        <f t="shared" ca="1" si="33"/>
        <v>8542.2000000000007</v>
      </c>
      <c r="AC83" s="34">
        <f t="shared" ca="1" si="23"/>
        <v>0</v>
      </c>
      <c r="AD83" s="34">
        <f t="shared" ca="1" si="33"/>
        <v>25</v>
      </c>
      <c r="AE83" s="34">
        <f t="shared" ca="1" si="33"/>
        <v>8542.2000000000007</v>
      </c>
      <c r="AF83" s="34">
        <f t="shared" ca="1" si="24"/>
        <v>0</v>
      </c>
      <c r="AG83" s="34" t="s">
        <v>406</v>
      </c>
      <c r="AH83" s="34" t="s">
        <v>408</v>
      </c>
      <c r="AI83" s="21" t="s">
        <v>601</v>
      </c>
    </row>
    <row r="84" spans="1:35">
      <c r="A84" s="34" t="str">
        <f t="shared" si="16"/>
        <v>ESGEnvironmentalEnvironmental health</v>
      </c>
      <c r="B84" s="34" t="s">
        <v>406</v>
      </c>
      <c r="C84" s="34" t="s">
        <v>408</v>
      </c>
      <c r="D84" s="21" t="s">
        <v>267</v>
      </c>
      <c r="E84" s="34" t="s">
        <v>470</v>
      </c>
      <c r="F84" s="34">
        <v>4</v>
      </c>
      <c r="G84" s="34">
        <v>1</v>
      </c>
      <c r="H84" s="34">
        <v>0</v>
      </c>
      <c r="I84" s="34" t="str">
        <f t="shared" si="25"/>
        <v>The higher, the better</v>
      </c>
      <c r="J84" s="34" t="str" cm="1">
        <f t="array" aca="1" ref="J84" ca="1">IFERROR(VLOOKUP(OFFSET(INDIRECT(E84),0,P84),Dict!$A$52:$B$57,2,FALSE),OFFSET(INDIRECT(E84),0,P84))</f>
        <v>Score</v>
      </c>
      <c r="K84" s="34">
        <v>1</v>
      </c>
      <c r="L84" s="34">
        <v>2</v>
      </c>
      <c r="M84" s="34">
        <v>0</v>
      </c>
      <c r="N84" s="34">
        <v>2</v>
      </c>
      <c r="O84" s="34">
        <v>2</v>
      </c>
      <c r="P84" s="21">
        <f t="shared" si="26"/>
        <v>13</v>
      </c>
      <c r="Q84" s="21">
        <f t="shared" si="34"/>
        <v>14</v>
      </c>
      <c r="R84" s="34">
        <f t="shared" si="18"/>
        <v>15</v>
      </c>
      <c r="S84" s="34">
        <f t="shared" si="19"/>
        <v>16</v>
      </c>
      <c r="T84" s="34" cm="1">
        <f t="array" aca="1" ref="T84" ca="1">OFFSET(INDIRECT($E84),T$47,OFFSET($P84,0,T$50))</f>
        <v>56.3</v>
      </c>
      <c r="U84" s="34" cm="1">
        <f t="array" aca="1" ref="U84" ca="1">OFFSET(INDIRECT($E84),U$47,OFFSET($P84,0,U$50))</f>
        <v>15</v>
      </c>
      <c r="V84" s="34">
        <f t="shared" ca="1" si="32"/>
        <v>30</v>
      </c>
      <c r="W84" s="34">
        <f t="shared" ca="1" si="32"/>
        <v>93.4</v>
      </c>
      <c r="X84" s="34">
        <f t="shared" ref="X84:X115" ca="1" si="35">MIN(OFFSET(INDIRECT($E84),1,OFFSET($P84,0,X$50),Country_Count))</f>
        <v>12.5</v>
      </c>
      <c r="Y84" s="34" cm="1">
        <f t="array" aca="1" ref="Y84" ca="1">OFFSET(INDIRECT($E84),Y$47,OFFSET($P84,0,Y$50))</f>
        <v>56.3</v>
      </c>
      <c r="Z84" s="34" cm="1">
        <f t="array" aca="1" ref="Z84" ca="1">OFFSET(INDIRECT($E84),Z$47,OFFSET($P84,0,Z$50))</f>
        <v>15</v>
      </c>
      <c r="AA84" s="34">
        <f t="shared" ca="1" si="33"/>
        <v>30</v>
      </c>
      <c r="AB84" s="34">
        <f t="shared" ca="1" si="33"/>
        <v>93.4</v>
      </c>
      <c r="AC84" s="34">
        <f t="shared" ref="AC84:AC115" ca="1" si="36">MIN(OFFSET(INDIRECT($E84),1,OFFSET($P84,0,AC$50),Country_Count))</f>
        <v>12.5</v>
      </c>
      <c r="AD84" s="34">
        <f t="shared" ca="1" si="33"/>
        <v>30</v>
      </c>
      <c r="AE84" s="34">
        <f t="shared" ca="1" si="33"/>
        <v>93.4</v>
      </c>
      <c r="AF84" s="34">
        <f t="shared" ca="1" si="24"/>
        <v>12.5</v>
      </c>
      <c r="AG84" s="34" t="s">
        <v>406</v>
      </c>
      <c r="AH84" s="34" t="s">
        <v>408</v>
      </c>
      <c r="AI84" s="21" t="s">
        <v>267</v>
      </c>
    </row>
    <row r="85" spans="1:35">
      <c r="A85" s="34" t="str">
        <f t="shared" si="16"/>
        <v>ESGEnvironmentalEcosystem vitality</v>
      </c>
      <c r="B85" s="34" t="s">
        <v>406</v>
      </c>
      <c r="C85" s="34" t="s">
        <v>408</v>
      </c>
      <c r="D85" s="21" t="s">
        <v>525</v>
      </c>
      <c r="E85" s="34" t="s">
        <v>470</v>
      </c>
      <c r="F85" s="34">
        <v>5</v>
      </c>
      <c r="G85" s="34">
        <v>1</v>
      </c>
      <c r="H85" s="34">
        <v>0</v>
      </c>
      <c r="I85" s="34" t="str">
        <f t="shared" si="25"/>
        <v>The higher, the better</v>
      </c>
      <c r="J85" s="34" t="str" cm="1">
        <f t="array" aca="1" ref="J85" ca="1">IFERROR(VLOOKUP(OFFSET(INDIRECT(E85),0,P85),Dict!$A$52:$B$57,2,FALSE),OFFSET(INDIRECT(E85),0,P85))</f>
        <v>Score</v>
      </c>
      <c r="K85" s="34">
        <v>1</v>
      </c>
      <c r="L85" s="34">
        <v>2</v>
      </c>
      <c r="M85" s="34">
        <v>0</v>
      </c>
      <c r="N85" s="34">
        <v>2</v>
      </c>
      <c r="O85" s="34">
        <v>2</v>
      </c>
      <c r="P85" s="21">
        <f t="shared" si="26"/>
        <v>17</v>
      </c>
      <c r="Q85" s="21">
        <f t="shared" si="34"/>
        <v>18</v>
      </c>
      <c r="R85" s="34">
        <f t="shared" si="18"/>
        <v>19</v>
      </c>
      <c r="S85" s="34">
        <f t="shared" si="19"/>
        <v>20</v>
      </c>
      <c r="T85" s="34" cm="1">
        <f t="array" aca="1" ref="T85" ca="1">OFFSET(INDIRECT($E85),T$47,OFFSET($P85,0,T$50))</f>
        <v>38.9</v>
      </c>
      <c r="U85" s="34" cm="1">
        <f t="array" aca="1" ref="U85" ca="1">OFFSET(INDIRECT($E85),U$47,OFFSET($P85,0,U$50))</f>
        <v>22</v>
      </c>
      <c r="V85" s="34">
        <f t="shared" ca="1" si="32"/>
        <v>30</v>
      </c>
      <c r="W85" s="34">
        <f t="shared" ca="1" si="32"/>
        <v>66.8</v>
      </c>
      <c r="X85" s="34">
        <f t="shared" ca="1" si="35"/>
        <v>19.3</v>
      </c>
      <c r="Y85" s="34" cm="1">
        <f t="array" aca="1" ref="Y85" ca="1">OFFSET(INDIRECT($E85),Y$47,OFFSET($P85,0,Y$50))</f>
        <v>38.9</v>
      </c>
      <c r="Z85" s="34" cm="1">
        <f t="array" aca="1" ref="Z85" ca="1">OFFSET(INDIRECT($E85),Z$47,OFFSET($P85,0,Z$50))</f>
        <v>22</v>
      </c>
      <c r="AA85" s="34">
        <f t="shared" ca="1" si="33"/>
        <v>30</v>
      </c>
      <c r="AB85" s="34">
        <f t="shared" ca="1" si="33"/>
        <v>66.8</v>
      </c>
      <c r="AC85" s="34">
        <f t="shared" ca="1" si="36"/>
        <v>19.3</v>
      </c>
      <c r="AD85" s="34">
        <f t="shared" ca="1" si="33"/>
        <v>30</v>
      </c>
      <c r="AE85" s="34">
        <f t="shared" ca="1" si="33"/>
        <v>66.8</v>
      </c>
      <c r="AF85" s="34">
        <f t="shared" ca="1" si="24"/>
        <v>19.3</v>
      </c>
      <c r="AG85" s="34" t="s">
        <v>406</v>
      </c>
      <c r="AH85" s="34" t="s">
        <v>408</v>
      </c>
      <c r="AI85" s="21" t="s">
        <v>525</v>
      </c>
    </row>
    <row r="86" spans="1:35">
      <c r="A86" s="34" t="str">
        <f t="shared" si="16"/>
        <v>ESGEnvironmentalCountry risk</v>
      </c>
      <c r="B86" s="34" t="s">
        <v>406</v>
      </c>
      <c r="C86" s="34" t="s">
        <v>408</v>
      </c>
      <c r="D86" s="21" t="s">
        <v>523</v>
      </c>
      <c r="E86" s="34" t="s">
        <v>470</v>
      </c>
      <c r="F86" s="34">
        <v>6</v>
      </c>
      <c r="G86" s="34">
        <v>1</v>
      </c>
      <c r="H86" s="34">
        <v>0</v>
      </c>
      <c r="I86" s="34" t="str">
        <f t="shared" si="25"/>
        <v>The lower, the better</v>
      </c>
      <c r="J86" s="34" t="str" cm="1">
        <f t="array" aca="1" ref="J86" ca="1">IFERROR(VLOOKUP(OFFSET(INDIRECT(E86),0,P86),Dict!$A$52:$B$57,2,FALSE),OFFSET(INDIRECT(E86),0,P86))</f>
        <v>Score</v>
      </c>
      <c r="K86" s="34">
        <v>1</v>
      </c>
      <c r="L86" s="34">
        <v>2</v>
      </c>
      <c r="M86" s="34">
        <v>0</v>
      </c>
      <c r="N86" s="34">
        <v>2</v>
      </c>
      <c r="O86" s="34">
        <v>2</v>
      </c>
      <c r="P86" s="21">
        <f t="shared" si="26"/>
        <v>21</v>
      </c>
      <c r="Q86" s="21">
        <f t="shared" si="34"/>
        <v>22</v>
      </c>
      <c r="R86" s="34">
        <f t="shared" si="18"/>
        <v>23</v>
      </c>
      <c r="S86" s="34">
        <f t="shared" si="19"/>
        <v>24</v>
      </c>
      <c r="T86" s="34" cm="1">
        <f t="array" aca="1" ref="T86" ca="1">OFFSET(INDIRECT($E86),T$47,OFFSET($P86,0,T$50))</f>
        <v>15.61</v>
      </c>
      <c r="U86" s="34" cm="1">
        <f t="array" aca="1" ref="U86" ca="1">OFFSET(INDIRECT($E86),U$47,OFFSET($P86,0,U$50))</f>
        <v>18</v>
      </c>
      <c r="V86" s="34">
        <f t="shared" ca="1" si="32"/>
        <v>30</v>
      </c>
      <c r="W86" s="34">
        <f t="shared" ca="1" si="32"/>
        <v>46.82</v>
      </c>
      <c r="X86" s="34">
        <f t="shared" ca="1" si="35"/>
        <v>0.97</v>
      </c>
      <c r="Y86" s="34" cm="1">
        <f t="array" aca="1" ref="Y86" ca="1">OFFSET(INDIRECT($E86),Y$47,OFFSET($P86,0,Y$50))</f>
        <v>14.88</v>
      </c>
      <c r="Z86" s="34" cm="1">
        <f t="array" aca="1" ref="Z86" ca="1">OFFSET(INDIRECT($E86),Z$47,OFFSET($P86,0,Z$50))</f>
        <v>18</v>
      </c>
      <c r="AA86" s="34">
        <f t="shared" ca="1" si="33"/>
        <v>30</v>
      </c>
      <c r="AB86" s="34">
        <f t="shared" ca="1" si="33"/>
        <v>46.86</v>
      </c>
      <c r="AC86" s="34">
        <f t="shared" ca="1" si="36"/>
        <v>0.94</v>
      </c>
      <c r="AD86" s="34">
        <f t="shared" ca="1" si="33"/>
        <v>30</v>
      </c>
      <c r="AE86" s="34">
        <f t="shared" ca="1" si="33"/>
        <v>46.86</v>
      </c>
      <c r="AF86" s="34">
        <f t="shared" ca="1" si="24"/>
        <v>0.94</v>
      </c>
      <c r="AG86" s="34" t="s">
        <v>406</v>
      </c>
      <c r="AH86" s="34" t="s">
        <v>408</v>
      </c>
      <c r="AI86" s="21" t="s">
        <v>523</v>
      </c>
    </row>
    <row r="87" spans="1:35">
      <c r="A87" s="34" t="str">
        <f t="shared" ref="A87" si="37">B87&amp;C87&amp;D87</f>
        <v>ESGEnvironmentalTotal</v>
      </c>
      <c r="B87" s="34" t="s">
        <v>406</v>
      </c>
      <c r="C87" s="34" t="s">
        <v>408</v>
      </c>
      <c r="D87" s="34" t="s">
        <v>4</v>
      </c>
      <c r="E87" s="34" t="s">
        <v>470</v>
      </c>
      <c r="F87" s="34">
        <v>7</v>
      </c>
      <c r="G87" s="34">
        <v>1</v>
      </c>
      <c r="H87" s="34">
        <v>1</v>
      </c>
      <c r="I87" s="34" t="str">
        <f t="shared" ca="1" si="25"/>
        <v>The lower, the better</v>
      </c>
      <c r="J87" s="34" t="str" cm="1">
        <f t="array" aca="1" ref="J87" ca="1">IFERROR(VLOOKUP(OFFSET(INDIRECT(E87),0,P87),Dict!$A$52:$B$57,2,FALSE),OFFSET(INDIRECT(E87),0,P87))</f>
        <v>Score</v>
      </c>
      <c r="K87" s="34">
        <v>1</v>
      </c>
      <c r="L87" s="34">
        <v>2</v>
      </c>
      <c r="M87" s="34">
        <v>0</v>
      </c>
      <c r="N87" s="34">
        <v>2</v>
      </c>
      <c r="O87" s="34">
        <v>2</v>
      </c>
      <c r="P87" s="21">
        <f t="shared" ref="P87" si="38">(F87-1)*(L87*O87*K87+M87*N87*O87)+P$50*IF(H87=0,L87,N87)+(G87-1)*L87*O87+1</f>
        <v>25</v>
      </c>
      <c r="Q87" s="21">
        <f t="shared" ref="Q87" si="39">P87+1</f>
        <v>26</v>
      </c>
      <c r="R87" s="34">
        <f t="shared" ref="R87" si="40">(F87-1)*(L87*O87*K87+M87*N87*O87)+R$50*IF(H87=0,L87,N87)+(G87-1)*L87*O87+1</f>
        <v>27</v>
      </c>
      <c r="S87" s="34">
        <f t="shared" si="19"/>
        <v>28</v>
      </c>
      <c r="T87" s="34" cm="1">
        <f t="array" aca="1" ref="T87" ca="1">OFFSET(INDIRECT($E87),T$47,OFFSET($P87,0,T$50))</f>
        <v>15.166666666666666</v>
      </c>
      <c r="U87" s="34" cm="1">
        <f t="array" aca="1" ref="U87" ca="1">OFFSET(INDIRECT($E87),U$47,OFFSET($P87,0,U$50))</f>
        <v>15</v>
      </c>
      <c r="V87" s="34">
        <f t="shared" ca="1" si="32"/>
        <v>30</v>
      </c>
      <c r="W87" s="34">
        <f t="shared" ca="1" si="32"/>
        <v>24</v>
      </c>
      <c r="X87" s="34">
        <f t="shared" ca="1" si="35"/>
        <v>6.833333333333333</v>
      </c>
      <c r="Y87" s="34" cm="1">
        <f t="array" aca="1" ref="Y87" ca="1">OFFSET(INDIRECT($E87),Y$47,OFFSET($P87,0,Y$50))</f>
        <v>16.666666666666668</v>
      </c>
      <c r="Z87" s="34" cm="1">
        <f t="array" aca="1" ref="Z87" ca="1">OFFSET(INDIRECT($E87),Z$47,OFFSET($P87,0,Z$50))</f>
        <v>18</v>
      </c>
      <c r="AA87" s="34">
        <f t="shared" ca="1" si="33"/>
        <v>30</v>
      </c>
      <c r="AB87" s="34">
        <f t="shared" ca="1" si="33"/>
        <v>23.833333333333332</v>
      </c>
      <c r="AC87" s="34">
        <f t="shared" ca="1" si="36"/>
        <v>6.5</v>
      </c>
      <c r="AD87" s="34">
        <f t="shared" ca="1" si="33"/>
        <v>30</v>
      </c>
      <c r="AE87" s="34">
        <f t="shared" ca="1" si="33"/>
        <v>23.833333333333332</v>
      </c>
      <c r="AF87" s="34">
        <f t="shared" ca="1" si="24"/>
        <v>6.5</v>
      </c>
      <c r="AG87" s="34" t="s">
        <v>406</v>
      </c>
      <c r="AH87" s="21" t="s">
        <v>614</v>
      </c>
      <c r="AI87" s="34" t="s">
        <v>4</v>
      </c>
    </row>
    <row r="88" spans="1:35">
      <c r="A88" s="34" t="str">
        <f t="shared" si="16"/>
        <v>ESGSocialFundamental labor rights</v>
      </c>
      <c r="B88" s="34" t="s">
        <v>406</v>
      </c>
      <c r="C88" s="34" t="s">
        <v>409</v>
      </c>
      <c r="D88" s="21" t="s">
        <v>527</v>
      </c>
      <c r="E88" s="34" t="s">
        <v>470</v>
      </c>
      <c r="F88" s="34">
        <v>8</v>
      </c>
      <c r="G88" s="34">
        <v>1</v>
      </c>
      <c r="H88" s="34">
        <v>0</v>
      </c>
      <c r="I88" s="34" t="str">
        <f t="shared" si="25"/>
        <v>The higher, the better</v>
      </c>
      <c r="J88" s="34" t="str" cm="1">
        <f t="array" aca="1" ref="J88" ca="1">IFERROR(VLOOKUP(OFFSET(INDIRECT(E88),0,P88),Dict!$A$52:$B$57,2,FALSE),OFFSET(INDIRECT(E88),0,P88))</f>
        <v>Score</v>
      </c>
      <c r="K88" s="34">
        <v>1</v>
      </c>
      <c r="L88" s="34">
        <v>2</v>
      </c>
      <c r="M88" s="34">
        <v>0</v>
      </c>
      <c r="N88" s="34">
        <v>2</v>
      </c>
      <c r="O88" s="34">
        <v>2</v>
      </c>
      <c r="P88" s="21">
        <f t="shared" si="26"/>
        <v>29</v>
      </c>
      <c r="Q88" s="21">
        <f t="shared" si="34"/>
        <v>30</v>
      </c>
      <c r="R88" s="34">
        <f t="shared" si="18"/>
        <v>31</v>
      </c>
      <c r="S88" s="34">
        <f t="shared" si="19"/>
        <v>32</v>
      </c>
      <c r="T88" s="34" cm="1">
        <f t="array" aca="1" ref="T88" ca="1">OFFSET(INDIRECT($E88),T$47,OFFSET($P88,0,T$50))</f>
        <v>0.65</v>
      </c>
      <c r="U88" s="34" cm="1">
        <f t="array" aca="1" ref="U88" ca="1">OFFSET(INDIRECT($E88),U$47,OFFSET($P88,0,U$50))</f>
        <v>16</v>
      </c>
      <c r="V88" s="34">
        <f t="shared" ca="1" si="32"/>
        <v>30</v>
      </c>
      <c r="W88" s="34">
        <f t="shared" ca="1" si="32"/>
        <v>0.88</v>
      </c>
      <c r="X88" s="34">
        <f t="shared" ca="1" si="35"/>
        <v>0.31</v>
      </c>
      <c r="Y88" s="34" cm="1">
        <f t="array" aca="1" ref="Y88" ca="1">OFFSET(INDIRECT($E88),Y$47,OFFSET($P88,0,Y$50))</f>
        <v>0.65</v>
      </c>
      <c r="Z88" s="34" cm="1">
        <f t="array" aca="1" ref="Z88" ca="1">OFFSET(INDIRECT($E88),Z$47,OFFSET($P88,0,Z$50))</f>
        <v>16</v>
      </c>
      <c r="AA88" s="34">
        <f t="shared" ca="1" si="33"/>
        <v>30</v>
      </c>
      <c r="AB88" s="34">
        <f t="shared" ca="1" si="33"/>
        <v>0.9</v>
      </c>
      <c r="AC88" s="34">
        <f t="shared" ca="1" si="36"/>
        <v>0.32</v>
      </c>
      <c r="AD88" s="34">
        <f t="shared" ca="1" si="33"/>
        <v>30</v>
      </c>
      <c r="AE88" s="34">
        <f t="shared" ca="1" si="33"/>
        <v>0.9</v>
      </c>
      <c r="AF88" s="34">
        <f t="shared" ca="1" si="24"/>
        <v>0.32</v>
      </c>
      <c r="AG88" s="34" t="s">
        <v>406</v>
      </c>
      <c r="AH88" s="34" t="s">
        <v>409</v>
      </c>
      <c r="AI88" s="21" t="s">
        <v>527</v>
      </c>
    </row>
    <row r="89" spans="1:35">
      <c r="A89" s="34" t="str">
        <f t="shared" si="16"/>
        <v>ESGSocialGender equality</v>
      </c>
      <c r="B89" s="34" t="s">
        <v>406</v>
      </c>
      <c r="C89" s="34" t="s">
        <v>409</v>
      </c>
      <c r="D89" s="21" t="s">
        <v>596</v>
      </c>
      <c r="E89" s="34" t="s">
        <v>470</v>
      </c>
      <c r="F89" s="34">
        <v>9</v>
      </c>
      <c r="G89" s="34">
        <v>1</v>
      </c>
      <c r="H89" s="34">
        <v>0</v>
      </c>
      <c r="I89" s="34" t="str">
        <f t="shared" si="25"/>
        <v>The higher, the better</v>
      </c>
      <c r="J89" s="34" t="str" cm="1">
        <f t="array" aca="1" ref="J89" ca="1">IFERROR(VLOOKUP(OFFSET(INDIRECT(E89),0,P89),Dict!$A$52:$B$57,2,FALSE),OFFSET(INDIRECT(E89),0,P89))</f>
        <v>Score</v>
      </c>
      <c r="K89" s="34">
        <v>1</v>
      </c>
      <c r="L89" s="34">
        <v>2</v>
      </c>
      <c r="M89" s="34">
        <v>0</v>
      </c>
      <c r="N89" s="34">
        <v>2</v>
      </c>
      <c r="O89" s="34">
        <v>2</v>
      </c>
      <c r="P89" s="21">
        <f t="shared" si="26"/>
        <v>33</v>
      </c>
      <c r="Q89" s="21">
        <f t="shared" si="34"/>
        <v>34</v>
      </c>
      <c r="R89" s="34">
        <f t="shared" si="18"/>
        <v>35</v>
      </c>
      <c r="S89" s="34">
        <f t="shared" si="19"/>
        <v>36</v>
      </c>
      <c r="T89" s="34" cm="1">
        <f t="array" aca="1" ref="T89" ca="1">OFFSET(INDIRECT($E89),T$47,OFFSET($P89,0,T$50))</f>
        <v>0.28699999999999998</v>
      </c>
      <c r="U89" s="34" cm="1">
        <f t="array" aca="1" ref="U89" ca="1">OFFSET(INDIRECT($E89),U$47,OFFSET($P89,0,U$50))</f>
        <v>19</v>
      </c>
      <c r="V89" s="34">
        <f t="shared" ca="1" si="32"/>
        <v>30</v>
      </c>
      <c r="W89" s="34">
        <f t="shared" ca="1" si="32"/>
        <v>0.56399999999999995</v>
      </c>
      <c r="X89" s="34">
        <f t="shared" ca="1" si="35"/>
        <v>1.6E-2</v>
      </c>
      <c r="Y89" s="34" cm="1">
        <f t="array" aca="1" ref="Y89" ca="1">OFFSET(INDIRECT($E89),Y$47,OFFSET($P89,0,Y$50))</f>
        <v>0.76</v>
      </c>
      <c r="Z89" s="34" cm="1">
        <f t="array" aca="1" ref="Z89" ca="1">OFFSET(INDIRECT($E89),Z$47,OFFSET($P89,0,Z$50))</f>
        <v>15</v>
      </c>
      <c r="AA89" s="34">
        <f t="shared" ca="1" si="33"/>
        <v>30</v>
      </c>
      <c r="AB89" s="34">
        <f t="shared" ca="1" si="33"/>
        <v>0.92500000000000004</v>
      </c>
      <c r="AC89" s="34">
        <f t="shared" ca="1" si="36"/>
        <v>0.51100000000000001</v>
      </c>
      <c r="AD89" s="34">
        <f t="shared" ca="1" si="33"/>
        <v>30</v>
      </c>
      <c r="AE89" s="34">
        <f t="shared" ca="1" si="33"/>
        <v>0.92500000000000004</v>
      </c>
      <c r="AF89" s="34">
        <f t="shared" ca="1" si="24"/>
        <v>0.51100000000000001</v>
      </c>
      <c r="AG89" s="34" t="s">
        <v>406</v>
      </c>
      <c r="AH89" s="34" t="s">
        <v>409</v>
      </c>
      <c r="AI89" s="21" t="s">
        <v>596</v>
      </c>
    </row>
    <row r="90" spans="1:35">
      <c r="A90" s="34" t="str">
        <f t="shared" ref="A90" si="41">B90&amp;C90&amp;D90</f>
        <v>ESGSocialTotal</v>
      </c>
      <c r="B90" s="34" t="s">
        <v>406</v>
      </c>
      <c r="C90" s="34" t="s">
        <v>409</v>
      </c>
      <c r="D90" s="34" t="s">
        <v>4</v>
      </c>
      <c r="E90" s="34" t="s">
        <v>470</v>
      </c>
      <c r="F90" s="34">
        <v>10</v>
      </c>
      <c r="G90" s="34">
        <v>1</v>
      </c>
      <c r="H90" s="34">
        <v>0</v>
      </c>
      <c r="I90" s="34" t="str">
        <f t="shared" ca="1" si="25"/>
        <v>The higher, the better</v>
      </c>
      <c r="J90" s="34" t="str" cm="1">
        <f t="array" aca="1" ref="J90" ca="1">IFERROR(VLOOKUP(OFFSET(INDIRECT(E90),0,P90),Dict!$A$52:$B$57,2,FALSE),OFFSET(INDIRECT(E90),0,P90))</f>
        <v>Score</v>
      </c>
      <c r="K90" s="34">
        <v>1</v>
      </c>
      <c r="L90" s="34">
        <v>2</v>
      </c>
      <c r="M90" s="34">
        <v>0</v>
      </c>
      <c r="N90" s="34">
        <v>2</v>
      </c>
      <c r="O90" s="34">
        <v>2</v>
      </c>
      <c r="P90" s="21">
        <f t="shared" ref="P90" si="42">(F90-1)*(L90*O90*K90+M90*N90*O90)+P$50*IF(H90=0,L90,N90)+(G90-1)*L90*O90+1</f>
        <v>37</v>
      </c>
      <c r="Q90" s="21">
        <f t="shared" ref="Q90" si="43">P90+1</f>
        <v>38</v>
      </c>
      <c r="R90" s="34">
        <f t="shared" ref="R90" si="44">(F90-1)*(L90*O90*K90+M90*N90*O90)+R$50*IF(H90=0,L90,N90)+(G90-1)*L90*O90+1</f>
        <v>39</v>
      </c>
      <c r="S90" s="34">
        <f t="shared" si="19"/>
        <v>40</v>
      </c>
      <c r="T90" s="34" cm="1">
        <f t="array" aca="1" ref="T90" ca="1">OFFSET(INDIRECT($E90),T$47,OFFSET($P90,0,T$50))</f>
        <v>17.5</v>
      </c>
      <c r="U90" s="34" cm="1">
        <f t="array" aca="1" ref="U90" ca="1">OFFSET(INDIRECT($E90),U$47,OFFSET($P90,0,U$50))</f>
        <v>17</v>
      </c>
      <c r="V90" s="34">
        <f t="shared" ca="1" si="32"/>
        <v>28</v>
      </c>
      <c r="W90" s="34">
        <f t="shared" ca="1" si="32"/>
        <v>27</v>
      </c>
      <c r="X90" s="34">
        <f t="shared" ca="1" si="35"/>
        <v>1</v>
      </c>
      <c r="Y90" s="34" cm="1">
        <f t="array" aca="1" ref="Y90" ca="1">OFFSET(INDIRECT($E90),Y$47,OFFSET($P90,0,Y$50))</f>
        <v>15.5</v>
      </c>
      <c r="Z90" s="34" cm="1">
        <f t="array" aca="1" ref="Z90" ca="1">OFFSET(INDIRECT($E90),Z$47,OFFSET($P90,0,Z$50))</f>
        <v>15</v>
      </c>
      <c r="AA90" s="34">
        <f t="shared" ca="1" si="33"/>
        <v>30</v>
      </c>
      <c r="AB90" s="34">
        <f t="shared" ca="1" si="33"/>
        <v>29.5</v>
      </c>
      <c r="AC90" s="34">
        <f t="shared" ca="1" si="36"/>
        <v>1.5</v>
      </c>
      <c r="AD90" s="34">
        <f t="shared" ca="1" si="33"/>
        <v>30</v>
      </c>
      <c r="AE90" s="34">
        <f t="shared" ca="1" si="33"/>
        <v>29.5</v>
      </c>
      <c r="AF90" s="34">
        <f t="shared" ca="1" si="24"/>
        <v>1.5</v>
      </c>
      <c r="AG90" s="34" t="s">
        <v>406</v>
      </c>
      <c r="AH90" s="21" t="s">
        <v>615</v>
      </c>
      <c r="AI90" s="34" t="s">
        <v>4</v>
      </c>
    </row>
    <row r="91" spans="1:35">
      <c r="A91" s="34" t="str">
        <f t="shared" si="16"/>
        <v>ESGGovernanceGovernment effectiveness</v>
      </c>
      <c r="B91" s="34" t="s">
        <v>406</v>
      </c>
      <c r="C91" s="34" t="s">
        <v>410</v>
      </c>
      <c r="D91" s="21" t="s">
        <v>530</v>
      </c>
      <c r="E91" s="34" t="s">
        <v>470</v>
      </c>
      <c r="F91" s="34">
        <v>11</v>
      </c>
      <c r="G91" s="34">
        <v>1</v>
      </c>
      <c r="H91" s="34">
        <v>0</v>
      </c>
      <c r="I91" s="34" t="str">
        <f t="shared" si="25"/>
        <v>The higher, the better</v>
      </c>
      <c r="J91" s="34" t="str" cm="1">
        <f t="array" aca="1" ref="J91" ca="1">IFERROR(VLOOKUP(OFFSET(INDIRECT(E91),0,P91),Dict!$A$52:$B$57,2,FALSE),OFFSET(INDIRECT(E91),0,P91))</f>
        <v>Score</v>
      </c>
      <c r="K91" s="34">
        <v>1</v>
      </c>
      <c r="L91" s="34">
        <v>2</v>
      </c>
      <c r="M91" s="34">
        <v>0</v>
      </c>
      <c r="N91" s="34">
        <v>2</v>
      </c>
      <c r="O91" s="34">
        <v>2</v>
      </c>
      <c r="P91" s="21">
        <f t="shared" si="26"/>
        <v>41</v>
      </c>
      <c r="Q91" s="21">
        <f t="shared" si="34"/>
        <v>42</v>
      </c>
      <c r="R91" s="34">
        <f t="shared" si="18"/>
        <v>43</v>
      </c>
      <c r="S91" s="34">
        <f t="shared" si="19"/>
        <v>44</v>
      </c>
      <c r="T91" s="34" cm="1">
        <f t="array" aca="1" ref="T91" ca="1">OFFSET(INDIRECT($E91),T$47,OFFSET($P91,0,T$50))</f>
        <v>-0.36</v>
      </c>
      <c r="U91" s="34" cm="1">
        <f t="array" aca="1" ref="U91" ca="1">OFFSET(INDIRECT($E91),U$47,OFFSET($P91,0,U$50))</f>
        <v>27</v>
      </c>
      <c r="V91" s="34">
        <f t="shared" ca="1" si="32"/>
        <v>30</v>
      </c>
      <c r="W91" s="34">
        <f t="shared" ca="1" si="32"/>
        <v>1.96</v>
      </c>
      <c r="X91" s="34">
        <f t="shared" ca="1" si="35"/>
        <v>-1.72</v>
      </c>
      <c r="Y91" s="34" cm="1">
        <f t="array" aca="1" ref="Y91" ca="1">OFFSET(INDIRECT($E91),Y$47,OFFSET($P91,0,Y$50))</f>
        <v>-0.28000000000000003</v>
      </c>
      <c r="Z91" s="34" cm="1">
        <f t="array" aca="1" ref="Z91" ca="1">OFFSET(INDIRECT($E91),Z$47,OFFSET($P91,0,Z$50))</f>
        <v>26</v>
      </c>
      <c r="AA91" s="34">
        <f t="shared" ca="1" si="33"/>
        <v>30</v>
      </c>
      <c r="AB91" s="34">
        <f t="shared" ca="1" si="33"/>
        <v>1.94</v>
      </c>
      <c r="AC91" s="34">
        <f t="shared" ca="1" si="36"/>
        <v>-1.75</v>
      </c>
      <c r="AD91" s="34">
        <f t="shared" ca="1" si="33"/>
        <v>30</v>
      </c>
      <c r="AE91" s="34">
        <f t="shared" ca="1" si="33"/>
        <v>1.94</v>
      </c>
      <c r="AF91" s="34">
        <f t="shared" ca="1" si="24"/>
        <v>-1.75</v>
      </c>
      <c r="AG91" s="34" t="s">
        <v>406</v>
      </c>
      <c r="AH91" s="34" t="s">
        <v>410</v>
      </c>
      <c r="AI91" s="21" t="s">
        <v>530</v>
      </c>
    </row>
    <row r="92" spans="1:35">
      <c r="A92" s="34" t="str">
        <f t="shared" si="16"/>
        <v>ESGGovernanceControl of corruption</v>
      </c>
      <c r="B92" s="34" t="s">
        <v>406</v>
      </c>
      <c r="C92" s="34" t="s">
        <v>410</v>
      </c>
      <c r="D92" s="21" t="s">
        <v>529</v>
      </c>
      <c r="E92" s="34" t="s">
        <v>470</v>
      </c>
      <c r="F92" s="34">
        <v>12</v>
      </c>
      <c r="G92" s="34">
        <v>1</v>
      </c>
      <c r="H92" s="34">
        <v>0</v>
      </c>
      <c r="I92" s="34" t="str">
        <f t="shared" si="25"/>
        <v>The higher, the better</v>
      </c>
      <c r="J92" s="34" t="str" cm="1">
        <f t="array" aca="1" ref="J92" ca="1">IFERROR(VLOOKUP(OFFSET(INDIRECT(E92),0,P92),Dict!$A$52:$B$57,2,FALSE),OFFSET(INDIRECT(E92),0,P92))</f>
        <v>Score</v>
      </c>
      <c r="K92" s="34">
        <v>1</v>
      </c>
      <c r="L92" s="34">
        <v>2</v>
      </c>
      <c r="M92" s="34">
        <v>0</v>
      </c>
      <c r="N92" s="34">
        <v>2</v>
      </c>
      <c r="O92" s="34">
        <v>2</v>
      </c>
      <c r="P92" s="21">
        <f t="shared" si="26"/>
        <v>45</v>
      </c>
      <c r="Q92" s="21">
        <f t="shared" si="34"/>
        <v>46</v>
      </c>
      <c r="R92" s="34">
        <f t="shared" si="18"/>
        <v>47</v>
      </c>
      <c r="S92" s="34">
        <f t="shared" si="19"/>
        <v>48</v>
      </c>
      <c r="T92" s="34" cm="1">
        <f t="array" aca="1" ref="T92" ca="1">OFFSET(INDIRECT($E92),T$47,OFFSET($P92,0,T$50))</f>
        <v>-0.4</v>
      </c>
      <c r="U92" s="34" cm="1">
        <f t="array" aca="1" ref="U92" ca="1">OFFSET(INDIRECT($E92),U$47,OFFSET($P92,0,U$50))</f>
        <v>22</v>
      </c>
      <c r="V92" s="34">
        <f t="shared" ref="V92:W115" ca="1" si="45">MAX(OFFSET(INDIRECT($E92),1,OFFSET($P92,0,V$50),Country_Count))</f>
        <v>30</v>
      </c>
      <c r="W92" s="34">
        <f t="shared" ca="1" si="45"/>
        <v>2.27</v>
      </c>
      <c r="X92" s="34">
        <f t="shared" ca="1" si="35"/>
        <v>-1.55</v>
      </c>
      <c r="Y92" s="34" cm="1">
        <f t="array" aca="1" ref="Y92" ca="1">OFFSET(INDIRECT($E92),Y$47,OFFSET($P92,0,Y$50))</f>
        <v>-0.45</v>
      </c>
      <c r="Z92" s="34" cm="1">
        <f t="array" aca="1" ref="Z92" ca="1">OFFSET(INDIRECT($E92),Z$47,OFFSET($P92,0,Z$50))</f>
        <v>23</v>
      </c>
      <c r="AA92" s="34">
        <f t="shared" ref="AA92:AE115" ca="1" si="46">MAX(OFFSET(INDIRECT($E92),1,OFFSET($P92,0,AA$50),Country_Count))</f>
        <v>30</v>
      </c>
      <c r="AB92" s="34">
        <f t="shared" ca="1" si="46"/>
        <v>2.25</v>
      </c>
      <c r="AC92" s="34">
        <f t="shared" ca="1" si="36"/>
        <v>-1.54</v>
      </c>
      <c r="AD92" s="34">
        <f t="shared" ca="1" si="46"/>
        <v>30</v>
      </c>
      <c r="AE92" s="34">
        <f t="shared" ca="1" si="46"/>
        <v>2.25</v>
      </c>
      <c r="AF92" s="34">
        <f t="shared" ca="1" si="24"/>
        <v>-1.54</v>
      </c>
      <c r="AG92" s="34" t="s">
        <v>406</v>
      </c>
      <c r="AH92" s="34" t="s">
        <v>410</v>
      </c>
      <c r="AI92" s="21" t="s">
        <v>529</v>
      </c>
    </row>
    <row r="93" spans="1:35">
      <c r="A93" s="34" t="str">
        <f t="shared" ref="A93" si="47">B93&amp;C93&amp;D93</f>
        <v>ESGGovernanceTotal</v>
      </c>
      <c r="B93" s="34" t="s">
        <v>406</v>
      </c>
      <c r="C93" s="34" t="s">
        <v>410</v>
      </c>
      <c r="D93" s="34" t="s">
        <v>4</v>
      </c>
      <c r="E93" s="34" t="s">
        <v>470</v>
      </c>
      <c r="F93" s="34">
        <v>13</v>
      </c>
      <c r="G93" s="34">
        <v>1</v>
      </c>
      <c r="H93" s="34">
        <v>0</v>
      </c>
      <c r="I93" s="34" t="str">
        <f t="shared" ca="1" si="25"/>
        <v>The higher, the better</v>
      </c>
      <c r="J93" s="34" t="str" cm="1">
        <f t="array" aca="1" ref="J93" ca="1">IFERROR(VLOOKUP(OFFSET(INDIRECT(E93),0,P93),Dict!$A$52:$B$57,2,FALSE),OFFSET(INDIRECT(E93),0,P93))</f>
        <v>Score</v>
      </c>
      <c r="K93" s="34">
        <v>1</v>
      </c>
      <c r="L93" s="34">
        <v>2</v>
      </c>
      <c r="M93" s="34">
        <v>0</v>
      </c>
      <c r="N93" s="34">
        <v>2</v>
      </c>
      <c r="O93" s="34">
        <v>2</v>
      </c>
      <c r="P93" s="21">
        <f t="shared" ref="P93" si="48">(F93-1)*(L93*O93*K93+M93*N93*O93)+P$50*IF(H93=0,L93,N93)+(G93-1)*L93*O93+1</f>
        <v>49</v>
      </c>
      <c r="Q93" s="21">
        <f t="shared" ref="Q93" si="49">P93+1</f>
        <v>50</v>
      </c>
      <c r="R93" s="34">
        <f t="shared" ref="R93" si="50">(F93-1)*(L93*O93*K93+M93*N93*O93)+R$50*IF(H93=0,L93,N93)+(G93-1)*L93*O93+1</f>
        <v>51</v>
      </c>
      <c r="S93" s="34">
        <f t="shared" si="19"/>
        <v>52</v>
      </c>
      <c r="T93" s="34" cm="1">
        <f t="array" aca="1" ref="T93" ca="1">OFFSET(INDIRECT($E93),T$47,OFFSET($P93,0,T$50))</f>
        <v>24.5</v>
      </c>
      <c r="U93" s="34" cm="1">
        <f t="array" aca="1" ref="U93" ca="1">OFFSET(INDIRECT($E93),U$47,OFFSET($P93,0,U$50))</f>
        <v>25</v>
      </c>
      <c r="V93" s="34">
        <f t="shared" ca="1" si="45"/>
        <v>30</v>
      </c>
      <c r="W93" s="34">
        <f t="shared" ca="1" si="45"/>
        <v>30</v>
      </c>
      <c r="X93" s="34">
        <f t="shared" ca="1" si="35"/>
        <v>1</v>
      </c>
      <c r="Y93" s="34" cm="1">
        <f t="array" aca="1" ref="Y93" ca="1">OFFSET(INDIRECT($E93),Y$47,OFFSET($P93,0,Y$50))</f>
        <v>24.5</v>
      </c>
      <c r="Z93" s="34" cm="1">
        <f t="array" aca="1" ref="Z93" ca="1">OFFSET(INDIRECT($E93),Z$47,OFFSET($P93,0,Z$50))</f>
        <v>25</v>
      </c>
      <c r="AA93" s="34">
        <f t="shared" ca="1" si="46"/>
        <v>30</v>
      </c>
      <c r="AB93" s="34">
        <f t="shared" ca="1" si="46"/>
        <v>30</v>
      </c>
      <c r="AC93" s="34">
        <f t="shared" ca="1" si="36"/>
        <v>1.5</v>
      </c>
      <c r="AD93" s="34">
        <f t="shared" ca="1" si="46"/>
        <v>30</v>
      </c>
      <c r="AE93" s="34">
        <f t="shared" ca="1" si="46"/>
        <v>30</v>
      </c>
      <c r="AF93" s="34">
        <f t="shared" ca="1" si="24"/>
        <v>1.5</v>
      </c>
      <c r="AG93" s="34" t="s">
        <v>406</v>
      </c>
      <c r="AH93" s="21" t="s">
        <v>616</v>
      </c>
      <c r="AI93" s="34" t="s">
        <v>4</v>
      </c>
    </row>
    <row r="94" spans="1:35">
      <c r="A94" s="34" t="str">
        <f t="shared" si="16"/>
        <v>ESGTotal</v>
      </c>
      <c r="B94" s="34" t="s">
        <v>406</v>
      </c>
      <c r="C94" s="34" t="s">
        <v>4</v>
      </c>
      <c r="E94" s="34" t="s">
        <v>470</v>
      </c>
      <c r="F94" s="34">
        <v>14</v>
      </c>
      <c r="G94" s="34">
        <v>1</v>
      </c>
      <c r="H94" s="34">
        <v>1</v>
      </c>
      <c r="I94" s="34" t="str">
        <f t="shared" ca="1" si="25"/>
        <v>The higher, the better</v>
      </c>
      <c r="J94" s="34" t="str" cm="1">
        <f t="array" aca="1" ref="J94" ca="1">IFERROR(VLOOKUP(OFFSET(INDIRECT(E94),0,P94),Dict!$A$52:$B$57,2,FALSE),OFFSET(INDIRECT(E94),0,P94))</f>
        <v>Score</v>
      </c>
      <c r="K94" s="34">
        <v>1</v>
      </c>
      <c r="L94" s="34">
        <v>2</v>
      </c>
      <c r="M94" s="34">
        <v>0</v>
      </c>
      <c r="N94" s="34">
        <v>2</v>
      </c>
      <c r="O94" s="34">
        <v>2</v>
      </c>
      <c r="P94" s="21">
        <f t="shared" si="26"/>
        <v>53</v>
      </c>
      <c r="Q94" s="21">
        <f t="shared" si="34"/>
        <v>54</v>
      </c>
      <c r="R94" s="34">
        <f t="shared" si="18"/>
        <v>55</v>
      </c>
      <c r="S94" s="34">
        <f t="shared" si="19"/>
        <v>56</v>
      </c>
      <c r="T94" s="34" cm="1">
        <f t="array" aca="1" ref="T94" ca="1">OFFSET(INDIRECT($E94),T$47,OFFSET($P94,0,T$50))</f>
        <v>19.055555555555557</v>
      </c>
      <c r="U94" s="34" cm="1">
        <f t="array" aca="1" ref="U94" ca="1">OFFSET(INDIRECT($E94),U$47,OFFSET($P94,0,U$50))</f>
        <v>18</v>
      </c>
      <c r="V94" s="34">
        <f t="shared" ca="1" si="45"/>
        <v>30</v>
      </c>
      <c r="W94" s="34">
        <f t="shared" ca="1" si="45"/>
        <v>25.111111111111111</v>
      </c>
      <c r="X94" s="34">
        <f t="shared" ca="1" si="35"/>
        <v>3.6666666666666665</v>
      </c>
      <c r="Y94" s="34" cm="1">
        <f t="array" aca="1" ref="Y94" ca="1">OFFSET(INDIRECT($E94),Y$47,OFFSET($P94,0,Y$50))</f>
        <v>18.889000000000003</v>
      </c>
      <c r="Z94" s="34" cm="1">
        <f t="array" aca="1" ref="Z94" ca="1">OFFSET(INDIRECT($E94),Z$47,OFFSET($P94,0,Z$50))</f>
        <v>18</v>
      </c>
      <c r="AA94" s="34">
        <f t="shared" ca="1" si="46"/>
        <v>30</v>
      </c>
      <c r="AB94" s="34">
        <f t="shared" ca="1" si="46"/>
        <v>24.889000000000003</v>
      </c>
      <c r="AC94" s="34">
        <f t="shared" ca="1" si="36"/>
        <v>3.8340000000000001</v>
      </c>
      <c r="AD94" s="34">
        <f t="shared" ca="1" si="46"/>
        <v>30</v>
      </c>
      <c r="AE94" s="34">
        <f t="shared" ca="1" si="46"/>
        <v>24.889000000000003</v>
      </c>
      <c r="AF94" s="34">
        <f t="shared" ca="1" si="24"/>
        <v>3.8340000000000001</v>
      </c>
      <c r="AG94" s="34" t="s">
        <v>406</v>
      </c>
      <c r="AH94" s="34" t="s">
        <v>4</v>
      </c>
    </row>
    <row r="95" spans="1:35">
      <c r="A95" s="34" t="str">
        <f t="shared" si="16"/>
        <v>IIIIndustryInvestment attractiveness</v>
      </c>
      <c r="B95" s="34" t="s">
        <v>325</v>
      </c>
      <c r="C95" s="34" t="s">
        <v>424</v>
      </c>
      <c r="D95" s="21" t="s">
        <v>531</v>
      </c>
      <c r="E95" s="34" t="s">
        <v>471</v>
      </c>
      <c r="F95" s="34">
        <v>1</v>
      </c>
      <c r="G95" s="34">
        <v>1</v>
      </c>
      <c r="H95" s="34">
        <v>0</v>
      </c>
      <c r="I95" s="34" t="str">
        <f t="shared" si="25"/>
        <v>The higher, the better</v>
      </c>
      <c r="J95" s="34" t="str" cm="1">
        <f t="array" aca="1" ref="J95" ca="1">IFERROR(VLOOKUP(OFFSET(INDIRECT(E95),0,P95),Dict!$A$52:$B$57,2,FALSE),OFFSET(INDIRECT(E95),0,P95))</f>
        <v>Score</v>
      </c>
      <c r="K95" s="34">
        <v>1</v>
      </c>
      <c r="L95" s="34">
        <v>2</v>
      </c>
      <c r="M95" s="34">
        <v>0</v>
      </c>
      <c r="N95" s="34">
        <v>2</v>
      </c>
      <c r="O95" s="34">
        <v>2</v>
      </c>
      <c r="P95" s="21">
        <f t="shared" si="26"/>
        <v>1</v>
      </c>
      <c r="Q95" s="21">
        <f t="shared" si="34"/>
        <v>2</v>
      </c>
      <c r="R95" s="34">
        <f t="shared" si="18"/>
        <v>3</v>
      </c>
      <c r="S95" s="34">
        <f t="shared" si="19"/>
        <v>4</v>
      </c>
      <c r="T95" s="34" cm="1">
        <f t="array" aca="1" ref="T95" ca="1">OFFSET(INDIRECT($E95),T$47,OFFSET($P95,0,T$50))</f>
        <v>57.56</v>
      </c>
      <c r="U95" s="34" cm="1">
        <f t="array" aca="1" ref="U95" ca="1">OFFSET(INDIRECT($E95),U$47,OFFSET($P95,0,U$50))</f>
        <v>11</v>
      </c>
      <c r="V95" s="34">
        <f t="shared" ca="1" si="45"/>
        <v>20</v>
      </c>
      <c r="W95" s="34">
        <f t="shared" ca="1" si="45"/>
        <v>82.56</v>
      </c>
      <c r="X95" s="34">
        <f t="shared" ca="1" si="35"/>
        <v>0</v>
      </c>
      <c r="Y95" s="34" cm="1">
        <f t="array" aca="1" ref="Y95" ca="1">OFFSET(INDIRECT($E95),Y$47,OFFSET($P95,0,Y$50))</f>
        <v>61.53</v>
      </c>
      <c r="Z95" s="34" cm="1">
        <f t="array" aca="1" ref="Z95" ca="1">OFFSET(INDIRECT($E95),Z$47,OFFSET($P95,0,Z$50))</f>
        <v>7</v>
      </c>
      <c r="AA95" s="34">
        <f t="shared" ca="1" si="46"/>
        <v>14</v>
      </c>
      <c r="AB95" s="34">
        <f t="shared" ca="1" si="46"/>
        <v>74.8</v>
      </c>
      <c r="AC95" s="34">
        <f t="shared" ca="1" si="36"/>
        <v>0</v>
      </c>
      <c r="AD95" s="34">
        <f t="shared" ca="1" si="46"/>
        <v>14</v>
      </c>
      <c r="AE95" s="34">
        <f t="shared" ca="1" si="46"/>
        <v>74.8</v>
      </c>
      <c r="AF95" s="34">
        <f t="shared" ca="1" si="24"/>
        <v>0</v>
      </c>
      <c r="AG95" s="34" t="s">
        <v>325</v>
      </c>
      <c r="AH95" s="34" t="s">
        <v>424</v>
      </c>
      <c r="AI95" s="21" t="s">
        <v>531</v>
      </c>
    </row>
    <row r="96" spans="1:35">
      <c r="A96" s="34" t="str">
        <f t="shared" si="16"/>
        <v>IIIIndustrySector policy</v>
      </c>
      <c r="B96" s="34" t="s">
        <v>325</v>
      </c>
      <c r="C96" s="34" t="s">
        <v>424</v>
      </c>
      <c r="D96" s="21" t="s">
        <v>532</v>
      </c>
      <c r="E96" s="34" t="s">
        <v>471</v>
      </c>
      <c r="F96" s="34">
        <v>2</v>
      </c>
      <c r="G96" s="34">
        <v>1</v>
      </c>
      <c r="H96" s="34">
        <v>0</v>
      </c>
      <c r="I96" s="34" t="str">
        <f t="shared" si="25"/>
        <v>The higher, the better</v>
      </c>
      <c r="J96" s="34" t="str" cm="1">
        <f t="array" aca="1" ref="J96" ca="1">IFERROR(VLOOKUP(OFFSET(INDIRECT(E96),0,P96),Dict!$A$52:$B$57,2,FALSE),OFFSET(INDIRECT(E96),0,P96))</f>
        <v>Score</v>
      </c>
      <c r="K96" s="34">
        <v>1</v>
      </c>
      <c r="L96" s="34">
        <v>2</v>
      </c>
      <c r="M96" s="34">
        <v>0</v>
      </c>
      <c r="N96" s="34">
        <v>2</v>
      </c>
      <c r="O96" s="34">
        <v>2</v>
      </c>
      <c r="P96" s="21">
        <f t="shared" si="26"/>
        <v>5</v>
      </c>
      <c r="Q96" s="21">
        <f t="shared" si="34"/>
        <v>6</v>
      </c>
      <c r="R96" s="34">
        <f t="shared" si="18"/>
        <v>7</v>
      </c>
      <c r="S96" s="34">
        <f t="shared" si="19"/>
        <v>8</v>
      </c>
      <c r="T96" s="34" cm="1">
        <f t="array" aca="1" ref="T96" ca="1">OFFSET(INDIRECT($E96),T$47,OFFSET($P96,0,T$50))</f>
        <v>0</v>
      </c>
      <c r="U96" s="34" cm="1">
        <f t="array" aca="1" ref="U96" ca="1">OFFSET(INDIRECT($E96),U$47,OFFSET($P96,0,U$50))</f>
        <v>0</v>
      </c>
      <c r="V96" s="34">
        <f t="shared" ca="1" si="45"/>
        <v>0</v>
      </c>
      <c r="W96" s="34">
        <f t="shared" ca="1" si="45"/>
        <v>0</v>
      </c>
      <c r="X96" s="34">
        <f t="shared" ca="1" si="35"/>
        <v>0</v>
      </c>
      <c r="Y96" s="34" cm="1">
        <f t="array" aca="1" ref="Y96" ca="1">OFFSET(INDIRECT($E96),Y$47,OFFSET($P96,0,Y$50))</f>
        <v>5</v>
      </c>
      <c r="Z96" s="34" cm="1">
        <f t="array" aca="1" ref="Z96" ca="1">OFFSET(INDIRECT($E96),Z$47,OFFSET($P96,0,Z$50))</f>
        <v>23</v>
      </c>
      <c r="AA96" s="34">
        <f t="shared" ca="1" si="46"/>
        <v>29</v>
      </c>
      <c r="AB96" s="34">
        <f t="shared" ca="1" si="46"/>
        <v>19</v>
      </c>
      <c r="AC96" s="34">
        <f t="shared" ca="1" si="36"/>
        <v>2</v>
      </c>
      <c r="AD96" s="34">
        <f t="shared" ca="1" si="46"/>
        <v>29</v>
      </c>
      <c r="AE96" s="34">
        <f t="shared" ca="1" si="46"/>
        <v>19</v>
      </c>
      <c r="AF96" s="34">
        <f t="shared" ca="1" si="24"/>
        <v>2</v>
      </c>
      <c r="AG96" s="34" t="s">
        <v>325</v>
      </c>
      <c r="AH96" s="34" t="s">
        <v>424</v>
      </c>
      <c r="AI96" s="21" t="s">
        <v>532</v>
      </c>
    </row>
    <row r="97" spans="1:35">
      <c r="A97" s="34" t="str">
        <f t="shared" si="16"/>
        <v>IIIIndustryOpenness to trade</v>
      </c>
      <c r="B97" s="34" t="s">
        <v>325</v>
      </c>
      <c r="C97" s="34" t="s">
        <v>424</v>
      </c>
      <c r="D97" s="34" t="s">
        <v>484</v>
      </c>
      <c r="E97" s="34" t="s">
        <v>471</v>
      </c>
      <c r="F97" s="34">
        <v>3</v>
      </c>
      <c r="G97" s="34">
        <v>1</v>
      </c>
      <c r="H97" s="34">
        <v>0</v>
      </c>
      <c r="I97" s="34" t="str">
        <f t="shared" si="25"/>
        <v>The higher, the better</v>
      </c>
      <c r="J97" s="34" t="str" cm="1">
        <f t="array" aca="1" ref="J97" ca="1">IFERROR(VLOOKUP(OFFSET(INDIRECT(E97),0,P97),Dict!$A$52:$B$57,2,FALSE),OFFSET(INDIRECT(E97),0,P97))</f>
        <v>Score</v>
      </c>
      <c r="K97" s="34">
        <v>1</v>
      </c>
      <c r="L97" s="34">
        <v>2</v>
      </c>
      <c r="M97" s="34">
        <v>0</v>
      </c>
      <c r="N97" s="34">
        <v>2</v>
      </c>
      <c r="O97" s="34">
        <v>2</v>
      </c>
      <c r="P97" s="21">
        <f t="shared" si="26"/>
        <v>9</v>
      </c>
      <c r="Q97" s="21">
        <f t="shared" si="34"/>
        <v>10</v>
      </c>
      <c r="R97" s="34">
        <f t="shared" si="18"/>
        <v>11</v>
      </c>
      <c r="S97" s="34">
        <f t="shared" si="19"/>
        <v>12</v>
      </c>
      <c r="T97" s="34" cm="1">
        <f t="array" aca="1" ref="T97" ca="1">OFFSET(INDIRECT($E97),T$47,OFFSET($P97,0,T$50))</f>
        <v>60.6</v>
      </c>
      <c r="U97" s="34" cm="1">
        <f t="array" aca="1" ref="U97" ca="1">OFFSET(INDIRECT($E97),U$47,OFFSET($P97,0,U$50))</f>
        <v>29</v>
      </c>
      <c r="V97" s="34">
        <f t="shared" ca="1" si="45"/>
        <v>30</v>
      </c>
      <c r="W97" s="34">
        <f t="shared" ca="1" si="45"/>
        <v>90</v>
      </c>
      <c r="X97" s="34">
        <f t="shared" ca="1" si="35"/>
        <v>60</v>
      </c>
      <c r="Y97" s="34" cm="1">
        <f t="array" aca="1" ref="Y97" ca="1">OFFSET(INDIRECT($E97),Y$47,OFFSET($P97,0,Y$50))</f>
        <v>61.2</v>
      </c>
      <c r="Z97" s="34" cm="1">
        <f t="array" aca="1" ref="Z97" ca="1">OFFSET(INDIRECT($E97),Z$47,OFFSET($P97,0,Z$50))</f>
        <v>28</v>
      </c>
      <c r="AA97" s="34">
        <f t="shared" ca="1" si="46"/>
        <v>30</v>
      </c>
      <c r="AB97" s="34">
        <f t="shared" ca="1" si="46"/>
        <v>89.8</v>
      </c>
      <c r="AC97" s="34">
        <f t="shared" ca="1" si="36"/>
        <v>59.8</v>
      </c>
      <c r="AD97" s="34">
        <f t="shared" ca="1" si="46"/>
        <v>30</v>
      </c>
      <c r="AE97" s="34">
        <f t="shared" ca="1" si="46"/>
        <v>89.8</v>
      </c>
      <c r="AF97" s="34">
        <f t="shared" ca="1" si="24"/>
        <v>59.8</v>
      </c>
      <c r="AG97" s="34" t="s">
        <v>325</v>
      </c>
      <c r="AH97" s="34" t="s">
        <v>424</v>
      </c>
      <c r="AI97" s="34" t="s">
        <v>484</v>
      </c>
    </row>
    <row r="98" spans="1:35">
      <c r="A98" s="34" t="str">
        <f t="shared" ref="A98" si="51">B98&amp;C98&amp;D98</f>
        <v>IIIIndustryOpenness to foreign direct investment</v>
      </c>
      <c r="B98" s="34" t="s">
        <v>325</v>
      </c>
      <c r="C98" s="34" t="s">
        <v>424</v>
      </c>
      <c r="D98" s="34" t="s">
        <v>485</v>
      </c>
      <c r="E98" s="34" t="s">
        <v>471</v>
      </c>
      <c r="F98" s="34">
        <v>4</v>
      </c>
      <c r="G98" s="34">
        <v>1</v>
      </c>
      <c r="H98" s="34">
        <v>0</v>
      </c>
      <c r="I98" s="34" t="str">
        <f t="shared" si="25"/>
        <v>The higher, the better</v>
      </c>
      <c r="J98" s="34" t="str" cm="1">
        <f t="array" aca="1" ref="J98" ca="1">IFERROR(VLOOKUP(OFFSET(INDIRECT(E98),0,P98),Dict!$A$52:$B$57,2,FALSE),OFFSET(INDIRECT(E98),0,P98))</f>
        <v>Score</v>
      </c>
      <c r="K98" s="34">
        <v>1</v>
      </c>
      <c r="L98" s="34">
        <v>2</v>
      </c>
      <c r="M98" s="34">
        <v>0</v>
      </c>
      <c r="N98" s="34">
        <v>2</v>
      </c>
      <c r="O98" s="34">
        <v>2</v>
      </c>
      <c r="P98" s="21">
        <f t="shared" ref="P98" si="52">(F98-1)*(L98*O98*K98+M98*N98*O98)+P$50*IF(H98=0,L98,N98)+(G98-1)*L98*O98+1</f>
        <v>13</v>
      </c>
      <c r="Q98" s="21">
        <f t="shared" ref="Q98" si="53">P98+1</f>
        <v>14</v>
      </c>
      <c r="R98" s="34">
        <f t="shared" ref="R98" si="54">(F98-1)*(L98*O98*K98+M98*N98*O98)+R$50*IF(H98=0,L98,N98)+(G98-1)*L98*O98+1</f>
        <v>15</v>
      </c>
      <c r="S98" s="34">
        <f t="shared" si="19"/>
        <v>16</v>
      </c>
      <c r="T98" s="34" cm="1">
        <f t="array" aca="1" ref="T98" ca="1">OFFSET(INDIRECT($E98),T$47,OFFSET($P98,0,T$50))</f>
        <v>0.13100000000000001</v>
      </c>
      <c r="U98" s="34" cm="1">
        <f t="array" aca="1" ref="U98" ca="1">OFFSET(INDIRECT($E98),U$47,OFFSET($P98,0,U$50))</f>
        <v>20</v>
      </c>
      <c r="V98" s="34">
        <f t="shared" ca="1" si="45"/>
        <v>30</v>
      </c>
      <c r="W98" s="34">
        <f t="shared" ca="1" si="45"/>
        <v>0.374</v>
      </c>
      <c r="X98" s="34">
        <f t="shared" ca="1" si="35"/>
        <v>0.01</v>
      </c>
      <c r="Y98" s="34" cm="1">
        <f t="array" aca="1" ref="Y98" ca="1">OFFSET(INDIRECT($E98),Y$47,OFFSET($P98,0,Y$50))</f>
        <v>2.38</v>
      </c>
      <c r="Z98" s="34" cm="1">
        <f t="array" aca="1" ref="Z98" ca="1">OFFSET(INDIRECT($E98),Z$47,OFFSET($P98,0,Z$50))</f>
        <v>14</v>
      </c>
      <c r="AA98" s="34">
        <f t="shared" ca="1" si="46"/>
        <v>30</v>
      </c>
      <c r="AB98" s="34">
        <f t="shared" ca="1" si="46"/>
        <v>7.8</v>
      </c>
      <c r="AC98" s="34">
        <f t="shared" ca="1" si="36"/>
        <v>-0.71</v>
      </c>
      <c r="AD98" s="34">
        <f t="shared" ca="1" si="46"/>
        <v>30</v>
      </c>
      <c r="AE98" s="34">
        <f t="shared" ca="1" si="46"/>
        <v>7.8</v>
      </c>
      <c r="AF98" s="34">
        <f t="shared" ca="1" si="24"/>
        <v>-0.71</v>
      </c>
      <c r="AG98" s="34" t="s">
        <v>325</v>
      </c>
      <c r="AH98" s="34" t="s">
        <v>424</v>
      </c>
      <c r="AI98" s="34" t="s">
        <v>485</v>
      </c>
    </row>
    <row r="99" spans="1:35">
      <c r="A99" s="34" t="str">
        <f t="shared" si="16"/>
        <v>IIIIndustryTotal</v>
      </c>
      <c r="B99" s="34" t="s">
        <v>325</v>
      </c>
      <c r="C99" s="34" t="s">
        <v>424</v>
      </c>
      <c r="D99" s="34" t="s">
        <v>4</v>
      </c>
      <c r="E99" s="34" t="s">
        <v>471</v>
      </c>
      <c r="F99" s="34">
        <v>5</v>
      </c>
      <c r="G99" s="34">
        <v>1</v>
      </c>
      <c r="H99" s="34">
        <v>0</v>
      </c>
      <c r="I99" s="34" t="str">
        <f t="shared" ca="1" si="25"/>
        <v>The higher, the better</v>
      </c>
      <c r="J99" s="34" t="str" cm="1">
        <f t="array" aca="1" ref="J99" ca="1">IFERROR(VLOOKUP(OFFSET(INDIRECT(E99),0,P99),Dict!$A$52:$B$57,2,FALSE),OFFSET(INDIRECT(E99),0,P99))</f>
        <v>Score</v>
      </c>
      <c r="K99" s="34">
        <v>1</v>
      </c>
      <c r="L99" s="34">
        <v>2</v>
      </c>
      <c r="M99" s="34">
        <v>0</v>
      </c>
      <c r="N99" s="34">
        <v>2</v>
      </c>
      <c r="O99" s="34">
        <v>2</v>
      </c>
      <c r="P99" s="21">
        <f t="shared" si="26"/>
        <v>17</v>
      </c>
      <c r="Q99" s="21">
        <f t="shared" si="34"/>
        <v>18</v>
      </c>
      <c r="R99" s="34">
        <f t="shared" si="18"/>
        <v>19</v>
      </c>
      <c r="S99" s="34">
        <f t="shared" si="19"/>
        <v>20</v>
      </c>
      <c r="T99" s="34" cm="1">
        <f t="array" aca="1" ref="T99" ca="1">OFFSET(INDIRECT($E99),T$47,OFFSET($P99,0,T$50))</f>
        <v>20</v>
      </c>
      <c r="U99" s="34" cm="1">
        <f t="array" aca="1" ref="U99" ca="1">OFFSET(INDIRECT($E99),U$47,OFFSET($P99,0,U$50))</f>
        <v>24</v>
      </c>
      <c r="V99" s="34">
        <f t="shared" ca="1" si="45"/>
        <v>30</v>
      </c>
      <c r="W99" s="34">
        <f t="shared" ca="1" si="45"/>
        <v>24.333333333333332</v>
      </c>
      <c r="X99" s="34">
        <f t="shared" ca="1" si="35"/>
        <v>3</v>
      </c>
      <c r="Y99" s="34" cm="1">
        <f t="array" aca="1" ref="Y99" ca="1">OFFSET(INDIRECT($E99),Y$47,OFFSET($P99,0,Y$50))</f>
        <v>18</v>
      </c>
      <c r="Z99" s="34" cm="1">
        <f t="array" aca="1" ref="Z99" ca="1">OFFSET(INDIRECT($E99),Z$47,OFFSET($P99,0,Z$50))</f>
        <v>22</v>
      </c>
      <c r="AA99" s="34">
        <f t="shared" ca="1" si="46"/>
        <v>30</v>
      </c>
      <c r="AB99" s="34">
        <f t="shared" ca="1" si="46"/>
        <v>24.25</v>
      </c>
      <c r="AC99" s="34">
        <f t="shared" ca="1" si="36"/>
        <v>6</v>
      </c>
      <c r="AD99" s="34">
        <f t="shared" ca="1" si="46"/>
        <v>30</v>
      </c>
      <c r="AE99" s="34">
        <f t="shared" ca="1" si="46"/>
        <v>24.25</v>
      </c>
      <c r="AF99" s="34">
        <f t="shared" ca="1" si="24"/>
        <v>6</v>
      </c>
      <c r="AG99" s="34" t="s">
        <v>325</v>
      </c>
      <c r="AH99" s="21" t="s">
        <v>617</v>
      </c>
      <c r="AI99" s="34" t="s">
        <v>4</v>
      </c>
    </row>
    <row r="100" spans="1:35">
      <c r="A100" s="34" t="str">
        <f t="shared" si="16"/>
        <v>IIIInfrastructureCommercial electricity Cost</v>
      </c>
      <c r="B100" s="34" t="s">
        <v>325</v>
      </c>
      <c r="C100" s="34" t="s">
        <v>121</v>
      </c>
      <c r="D100" s="21" t="s">
        <v>597</v>
      </c>
      <c r="E100" s="34" t="s">
        <v>471</v>
      </c>
      <c r="F100" s="34">
        <v>6</v>
      </c>
      <c r="G100" s="34">
        <v>1</v>
      </c>
      <c r="H100" s="34">
        <v>0</v>
      </c>
      <c r="I100" s="34" t="str">
        <f t="shared" si="25"/>
        <v>The lower, the better</v>
      </c>
      <c r="J100" s="34" t="str" cm="1">
        <f t="array" aca="1" ref="J100" ca="1">IFERROR(VLOOKUP(OFFSET(INDIRECT(E100),0,P100),Dict!$A$52:$B$57,2,FALSE),OFFSET(INDIRECT(E100),0,P100))</f>
        <v>$ per megawatt-hour</v>
      </c>
      <c r="K100" s="34">
        <v>1</v>
      </c>
      <c r="L100" s="34">
        <v>2</v>
      </c>
      <c r="M100" s="34">
        <v>0</v>
      </c>
      <c r="N100" s="34">
        <v>2</v>
      </c>
      <c r="O100" s="34">
        <v>2</v>
      </c>
      <c r="P100" s="21">
        <f t="shared" si="26"/>
        <v>21</v>
      </c>
      <c r="Q100" s="21">
        <f t="shared" si="34"/>
        <v>22</v>
      </c>
      <c r="R100" s="34">
        <f t="shared" si="18"/>
        <v>23</v>
      </c>
      <c r="S100" s="34">
        <f t="shared" si="19"/>
        <v>24</v>
      </c>
      <c r="T100" s="34" cm="1">
        <f t="array" aca="1" ref="T100" ca="1">OFFSET(INDIRECT($E100),T$47,OFFSET($P100,0,T$50))</f>
        <v>69.13</v>
      </c>
      <c r="U100" s="34" cm="1">
        <f t="array" aca="1" ref="U100" ca="1">OFFSET(INDIRECT($E100),U$47,OFFSET($P100,0,U$50))</f>
        <v>2</v>
      </c>
      <c r="V100" s="34">
        <f t="shared" ca="1" si="45"/>
        <v>30</v>
      </c>
      <c r="W100" s="34">
        <f t="shared" ca="1" si="45"/>
        <v>272.70999999999998</v>
      </c>
      <c r="X100" s="34">
        <f t="shared" ca="1" si="35"/>
        <v>65.09</v>
      </c>
      <c r="Y100" s="34" cm="1">
        <f t="array" aca="1" ref="Y100" ca="1">OFFSET(INDIRECT($E100),Y$47,OFFSET($P100,0,Y$50))</f>
        <v>108.67</v>
      </c>
      <c r="Z100" s="34" cm="1">
        <f t="array" aca="1" ref="Z100" ca="1">OFFSET(INDIRECT($E100),Z$47,OFFSET($P100,0,Z$50))</f>
        <v>8</v>
      </c>
      <c r="AA100" s="34">
        <f t="shared" ca="1" si="46"/>
        <v>30</v>
      </c>
      <c r="AB100" s="34">
        <f t="shared" ca="1" si="46"/>
        <v>492.42</v>
      </c>
      <c r="AC100" s="34">
        <f t="shared" ca="1" si="36"/>
        <v>75.08</v>
      </c>
      <c r="AD100" s="34">
        <f t="shared" ca="1" si="46"/>
        <v>30</v>
      </c>
      <c r="AE100" s="34">
        <f t="shared" ca="1" si="46"/>
        <v>492.42</v>
      </c>
      <c r="AF100" s="34">
        <f t="shared" ca="1" si="24"/>
        <v>75.08</v>
      </c>
      <c r="AG100" s="34" t="s">
        <v>325</v>
      </c>
      <c r="AH100" s="34" t="s">
        <v>121</v>
      </c>
      <c r="AI100" s="21" t="s">
        <v>597</v>
      </c>
    </row>
    <row r="101" spans="1:35">
      <c r="A101" s="34" t="str">
        <f t="shared" si="16"/>
        <v>IIIInfrastructureInfrastructure</v>
      </c>
      <c r="B101" s="34" t="s">
        <v>325</v>
      </c>
      <c r="C101" s="34" t="s">
        <v>121</v>
      </c>
      <c r="D101" s="34" t="s">
        <v>121</v>
      </c>
      <c r="E101" s="34" t="s">
        <v>471</v>
      </c>
      <c r="F101" s="34">
        <v>7</v>
      </c>
      <c r="G101" s="34">
        <v>1</v>
      </c>
      <c r="H101" s="34">
        <v>0</v>
      </c>
      <c r="I101" s="34" t="str">
        <f t="shared" si="25"/>
        <v>The higher, the better</v>
      </c>
      <c r="J101" s="34" t="str" cm="1">
        <f t="array" aca="1" ref="J101" ca="1">IFERROR(VLOOKUP(OFFSET(INDIRECT(E101),0,P101),Dict!$A$52:$B$57,2,FALSE),OFFSET(INDIRECT(E101),0,P101))</f>
        <v>Score</v>
      </c>
      <c r="K101" s="34">
        <v>1</v>
      </c>
      <c r="L101" s="34">
        <v>2</v>
      </c>
      <c r="M101" s="34">
        <v>0</v>
      </c>
      <c r="N101" s="34">
        <v>2</v>
      </c>
      <c r="O101" s="34">
        <v>2</v>
      </c>
      <c r="P101" s="21">
        <f t="shared" si="26"/>
        <v>25</v>
      </c>
      <c r="Q101" s="21">
        <f t="shared" si="34"/>
        <v>26</v>
      </c>
      <c r="R101" s="34">
        <f t="shared" si="18"/>
        <v>27</v>
      </c>
      <c r="S101" s="34">
        <f t="shared" si="19"/>
        <v>28</v>
      </c>
      <c r="T101" s="34" cm="1">
        <f t="array" aca="1" ref="T101" ca="1">OFFSET(INDIRECT($E101),T$47,OFFSET($P101,0,T$50))</f>
        <v>26</v>
      </c>
      <c r="U101" s="34" cm="1">
        <f t="array" aca="1" ref="U101" ca="1">OFFSET(INDIRECT($E101),U$47,OFFSET($P101,0,U$50))</f>
        <v>25</v>
      </c>
      <c r="V101" s="34">
        <f t="shared" ca="1" si="45"/>
        <v>30</v>
      </c>
      <c r="W101" s="34">
        <f t="shared" ca="1" si="45"/>
        <v>72.5</v>
      </c>
      <c r="X101" s="34">
        <f t="shared" ca="1" si="35"/>
        <v>20.3</v>
      </c>
      <c r="Y101" s="34" cm="1">
        <f t="array" aca="1" ref="Y101" ca="1">OFFSET(INDIRECT($E101),Y$47,OFFSET($P101,0,Y$50))</f>
        <v>39.9</v>
      </c>
      <c r="Z101" s="34" cm="1">
        <f t="array" aca="1" ref="Z101" ca="1">OFFSET(INDIRECT($E101),Z$47,OFFSET($P101,0,Z$50))</f>
        <v>22</v>
      </c>
      <c r="AA101" s="34">
        <f t="shared" ca="1" si="46"/>
        <v>30</v>
      </c>
      <c r="AB101" s="34">
        <f t="shared" ca="1" si="46"/>
        <v>69.2</v>
      </c>
      <c r="AC101" s="34">
        <f t="shared" ca="1" si="36"/>
        <v>19</v>
      </c>
      <c r="AD101" s="34">
        <f t="shared" ca="1" si="46"/>
        <v>30</v>
      </c>
      <c r="AE101" s="34">
        <f t="shared" ca="1" si="46"/>
        <v>69.2</v>
      </c>
      <c r="AF101" s="34">
        <f t="shared" ca="1" si="24"/>
        <v>19</v>
      </c>
      <c r="AG101" s="34" t="s">
        <v>325</v>
      </c>
      <c r="AH101" s="34" t="s">
        <v>121</v>
      </c>
      <c r="AI101" s="34" t="s">
        <v>121</v>
      </c>
    </row>
    <row r="102" spans="1:35">
      <c r="A102" s="34" t="str">
        <f t="shared" ref="A102" si="55">B102&amp;C102&amp;D102</f>
        <v>IIIInfrastructureTotal</v>
      </c>
      <c r="B102" s="34" t="s">
        <v>325</v>
      </c>
      <c r="C102" s="34" t="s">
        <v>121</v>
      </c>
      <c r="D102" s="34" t="s">
        <v>4</v>
      </c>
      <c r="E102" s="34" t="s">
        <v>471</v>
      </c>
      <c r="F102" s="34">
        <v>8</v>
      </c>
      <c r="G102" s="34">
        <v>1</v>
      </c>
      <c r="H102" s="34">
        <v>0</v>
      </c>
      <c r="I102" s="34" t="str">
        <f t="shared" ca="1" si="25"/>
        <v>The higher, the better</v>
      </c>
      <c r="J102" s="34" t="str" cm="1">
        <f t="array" aca="1" ref="J102" ca="1">IFERROR(VLOOKUP(OFFSET(INDIRECT(E102),0,P102),Dict!$A$52:$B$57,2,FALSE),OFFSET(INDIRECT(E102),0,P102))</f>
        <v>Score</v>
      </c>
      <c r="K102" s="34">
        <v>1</v>
      </c>
      <c r="L102" s="34">
        <v>2</v>
      </c>
      <c r="M102" s="34">
        <v>0</v>
      </c>
      <c r="N102" s="34">
        <v>2</v>
      </c>
      <c r="O102" s="34">
        <v>2</v>
      </c>
      <c r="P102" s="21">
        <f t="shared" ref="P102" si="56">(F102-1)*(L102*O102*K102+M102*N102*O102)+P$50*IF(H102=0,L102,N102)+(G102-1)*L102*O102+1</f>
        <v>29</v>
      </c>
      <c r="Q102" s="21">
        <f t="shared" ref="Q102" si="57">P102+1</f>
        <v>30</v>
      </c>
      <c r="R102" s="34">
        <f t="shared" ref="R102" si="58">(F102-1)*(L102*O102*K102+M102*N102*O102)+R$50*IF(H102=0,L102,N102)+(G102-1)*L102*O102+1</f>
        <v>31</v>
      </c>
      <c r="S102" s="34">
        <f t="shared" si="19"/>
        <v>32</v>
      </c>
      <c r="T102" s="34" cm="1">
        <f t="array" aca="1" ref="T102" ca="1">OFFSET(INDIRECT($E102),T$47,OFFSET($P102,0,T$50))</f>
        <v>13.5</v>
      </c>
      <c r="U102" s="34" cm="1">
        <f t="array" aca="1" ref="U102" ca="1">OFFSET(INDIRECT($E102),U$47,OFFSET($P102,0,U$50))</f>
        <v>12</v>
      </c>
      <c r="V102" s="34">
        <f t="shared" ca="1" si="45"/>
        <v>30</v>
      </c>
      <c r="W102" s="34">
        <f t="shared" ca="1" si="45"/>
        <v>25</v>
      </c>
      <c r="X102" s="34">
        <f t="shared" ca="1" si="35"/>
        <v>3.5</v>
      </c>
      <c r="Y102" s="34" cm="1">
        <f t="array" aca="1" ref="Y102" ca="1">OFFSET(INDIRECT($E102),Y$47,OFFSET($P102,0,Y$50))</f>
        <v>15</v>
      </c>
      <c r="Z102" s="34" cm="1">
        <f t="array" aca="1" ref="Z102" ca="1">OFFSET(INDIRECT($E102),Z$47,OFFSET($P102,0,Z$50))</f>
        <v>11</v>
      </c>
      <c r="AA102" s="34">
        <f t="shared" ca="1" si="46"/>
        <v>30</v>
      </c>
      <c r="AB102" s="34">
        <f t="shared" ca="1" si="46"/>
        <v>24.5</v>
      </c>
      <c r="AC102" s="34">
        <f t="shared" ca="1" si="36"/>
        <v>6</v>
      </c>
      <c r="AD102" s="34">
        <f t="shared" ca="1" si="46"/>
        <v>30</v>
      </c>
      <c r="AE102" s="34">
        <f t="shared" ca="1" si="46"/>
        <v>24.5</v>
      </c>
      <c r="AF102" s="34">
        <f t="shared" ca="1" si="24"/>
        <v>6</v>
      </c>
      <c r="AG102" s="34" t="s">
        <v>325</v>
      </c>
      <c r="AH102" s="21" t="s">
        <v>618</v>
      </c>
      <c r="AI102" s="34" t="s">
        <v>4</v>
      </c>
    </row>
    <row r="103" spans="1:35">
      <c r="A103" s="34" t="str">
        <f t="shared" si="16"/>
        <v>IIIInnovationR&amp;D</v>
      </c>
      <c r="B103" s="34" t="s">
        <v>325</v>
      </c>
      <c r="C103" s="34" t="s">
        <v>117</v>
      </c>
      <c r="D103" s="34" t="s">
        <v>430</v>
      </c>
      <c r="E103" s="34" t="s">
        <v>471</v>
      </c>
      <c r="F103" s="34">
        <v>9</v>
      </c>
      <c r="G103" s="34">
        <v>1</v>
      </c>
      <c r="H103" s="34">
        <v>0</v>
      </c>
      <c r="I103" s="34" t="str">
        <f t="shared" si="25"/>
        <v>The higher, the better</v>
      </c>
      <c r="J103" s="34" t="str" cm="1">
        <f t="array" aca="1" ref="J103" ca="1">IFERROR(VLOOKUP(OFFSET(INDIRECT(E103),0,P103),Dict!$A$52:$B$57,2,FALSE),OFFSET(INDIRECT(E103),0,P103))</f>
        <v>Percentage of gross domestic product</v>
      </c>
      <c r="K103" s="34">
        <v>1</v>
      </c>
      <c r="L103" s="34">
        <v>2</v>
      </c>
      <c r="M103" s="34">
        <v>0</v>
      </c>
      <c r="N103" s="34">
        <v>2</v>
      </c>
      <c r="O103" s="34">
        <v>2</v>
      </c>
      <c r="P103" s="21">
        <f t="shared" si="26"/>
        <v>33</v>
      </c>
      <c r="Q103" s="21">
        <f t="shared" si="34"/>
        <v>34</v>
      </c>
      <c r="R103" s="34">
        <f t="shared" si="18"/>
        <v>35</v>
      </c>
      <c r="S103" s="34">
        <f t="shared" si="19"/>
        <v>36</v>
      </c>
      <c r="T103" s="34" cm="1">
        <f t="array" aca="1" ref="T103" ca="1">OFFSET(INDIRECT($E103),T$47,OFFSET($P103,0,T$50))</f>
        <v>0.5</v>
      </c>
      <c r="U103" s="34" cm="1">
        <f t="array" aca="1" ref="U103" ca="1">OFFSET(INDIRECT($E103),U$47,OFFSET($P103,0,U$50))</f>
        <v>22</v>
      </c>
      <c r="V103" s="34">
        <f t="shared" ca="1" si="45"/>
        <v>29</v>
      </c>
      <c r="W103" s="34">
        <f t="shared" ca="1" si="45"/>
        <v>4.8</v>
      </c>
      <c r="X103" s="34">
        <f t="shared" ca="1" si="35"/>
        <v>0.05</v>
      </c>
      <c r="Y103" s="34" cm="1">
        <f t="array" aca="1" ref="Y103" ca="1">OFFSET(INDIRECT($E103),Y$47,OFFSET($P103,0,Y$50))</f>
        <v>16.5</v>
      </c>
      <c r="Z103" s="34" cm="1">
        <f t="array" aca="1" ref="Z103" ca="1">OFFSET(INDIRECT($E103),Z$47,OFFSET($P103,0,Z$50))</f>
        <v>24</v>
      </c>
      <c r="AA103" s="34">
        <f t="shared" ca="1" si="46"/>
        <v>30</v>
      </c>
      <c r="AB103" s="34">
        <f t="shared" ca="1" si="46"/>
        <v>87.3</v>
      </c>
      <c r="AC103" s="34">
        <f t="shared" ca="1" si="36"/>
        <v>0</v>
      </c>
      <c r="AD103" s="34">
        <f t="shared" ca="1" si="46"/>
        <v>30</v>
      </c>
      <c r="AE103" s="34">
        <f t="shared" ca="1" si="46"/>
        <v>87.3</v>
      </c>
      <c r="AF103" s="34">
        <f t="shared" ca="1" si="24"/>
        <v>0</v>
      </c>
      <c r="AG103" s="34" t="s">
        <v>325</v>
      </c>
      <c r="AH103" s="34" t="s">
        <v>117</v>
      </c>
      <c r="AI103" s="34" t="s">
        <v>430</v>
      </c>
    </row>
    <row r="104" spans="1:35">
      <c r="A104" s="34" t="str">
        <f t="shared" si="16"/>
        <v>IIIInnovationKnowledge creation</v>
      </c>
      <c r="B104" s="34" t="s">
        <v>325</v>
      </c>
      <c r="C104" s="34" t="s">
        <v>117</v>
      </c>
      <c r="D104" s="21" t="s">
        <v>535</v>
      </c>
      <c r="E104" s="34" t="s">
        <v>471</v>
      </c>
      <c r="F104" s="34">
        <v>10</v>
      </c>
      <c r="G104" s="34">
        <v>1</v>
      </c>
      <c r="H104" s="34">
        <v>0</v>
      </c>
      <c r="I104" s="34" t="str">
        <f t="shared" si="25"/>
        <v>The higher, the better</v>
      </c>
      <c r="J104" s="34" t="str" cm="1">
        <f t="array" aca="1" ref="J104" ca="1">IFERROR(VLOOKUP(OFFSET(INDIRECT(E104),0,P104),Dict!$A$52:$B$57,2,FALSE),OFFSET(INDIRECT(E104),0,P104))</f>
        <v>Score</v>
      </c>
      <c r="K104" s="34">
        <v>1</v>
      </c>
      <c r="L104" s="34">
        <v>2</v>
      </c>
      <c r="M104" s="34">
        <v>0</v>
      </c>
      <c r="N104" s="34">
        <v>2</v>
      </c>
      <c r="O104" s="34">
        <v>2</v>
      </c>
      <c r="P104" s="21">
        <f t="shared" si="26"/>
        <v>37</v>
      </c>
      <c r="Q104" s="21">
        <f t="shared" si="34"/>
        <v>38</v>
      </c>
      <c r="R104" s="34">
        <f t="shared" si="18"/>
        <v>39</v>
      </c>
      <c r="S104" s="34">
        <f t="shared" si="19"/>
        <v>40</v>
      </c>
      <c r="T104" s="34" cm="1">
        <f t="array" aca="1" ref="T104" ca="1">OFFSET(INDIRECT($E104),T$47,OFFSET($P104,0,T$50))</f>
        <v>13.6</v>
      </c>
      <c r="U104" s="34" cm="1">
        <f t="array" aca="1" ref="U104" ca="1">OFFSET(INDIRECT($E104),U$47,OFFSET($P104,0,U$50))</f>
        <v>23</v>
      </c>
      <c r="V104" s="34">
        <f t="shared" ca="1" si="45"/>
        <v>30</v>
      </c>
      <c r="W104" s="34">
        <f t="shared" ca="1" si="45"/>
        <v>81.599999999999994</v>
      </c>
      <c r="X104" s="34">
        <f t="shared" ca="1" si="35"/>
        <v>1.85</v>
      </c>
      <c r="Y104" s="34" cm="1">
        <f t="array" aca="1" ref="Y104" ca="1">OFFSET(INDIRECT($E104),Y$47,OFFSET($P104,0,Y$50))</f>
        <v>13</v>
      </c>
      <c r="Z104" s="34" cm="1">
        <f t="array" aca="1" ref="Z104" ca="1">OFFSET(INDIRECT($E104),Z$47,OFFSET($P104,0,Z$50))</f>
        <v>25</v>
      </c>
      <c r="AA104" s="34">
        <f t="shared" ca="1" si="46"/>
        <v>30</v>
      </c>
      <c r="AB104" s="34">
        <f t="shared" ca="1" si="46"/>
        <v>74.3</v>
      </c>
      <c r="AC104" s="34">
        <f t="shared" ca="1" si="36"/>
        <v>6.1</v>
      </c>
      <c r="AD104" s="34">
        <f t="shared" ca="1" si="46"/>
        <v>30</v>
      </c>
      <c r="AE104" s="34">
        <f t="shared" ca="1" si="46"/>
        <v>74.3</v>
      </c>
      <c r="AF104" s="34">
        <f t="shared" ca="1" si="24"/>
        <v>6.1</v>
      </c>
      <c r="AG104" s="34" t="s">
        <v>325</v>
      </c>
      <c r="AH104" s="34" t="s">
        <v>117</v>
      </c>
      <c r="AI104" s="21" t="s">
        <v>535</v>
      </c>
    </row>
    <row r="105" spans="1:35">
      <c r="A105" s="34" t="str">
        <f t="shared" ref="A105" si="59">B105&amp;C105&amp;D105</f>
        <v>IIIInnovationSTEM graduates</v>
      </c>
      <c r="B105" s="34" t="s">
        <v>325</v>
      </c>
      <c r="C105" s="34" t="s">
        <v>117</v>
      </c>
      <c r="D105" s="21" t="s">
        <v>536</v>
      </c>
      <c r="E105" s="34" t="s">
        <v>471</v>
      </c>
      <c r="F105" s="34">
        <v>11</v>
      </c>
      <c r="G105" s="34">
        <v>1</v>
      </c>
      <c r="H105" s="34">
        <v>0</v>
      </c>
      <c r="I105" s="34" t="str">
        <f t="shared" si="25"/>
        <v>The higher, the better</v>
      </c>
      <c r="J105" s="34" t="str" cm="1">
        <f t="array" aca="1" ref="J105" ca="1">IFERROR(VLOOKUP(OFFSET(INDIRECT(E105),0,P105),Dict!$A$52:$B$57,2,FALSE),OFFSET(INDIRECT(E105),0,P105))</f>
        <v>Percentage</v>
      </c>
      <c r="K105" s="34">
        <v>1</v>
      </c>
      <c r="L105" s="34">
        <v>2</v>
      </c>
      <c r="M105" s="34">
        <v>0</v>
      </c>
      <c r="N105" s="34">
        <v>2</v>
      </c>
      <c r="O105" s="34">
        <v>2</v>
      </c>
      <c r="P105" s="21">
        <f t="shared" ref="P105" si="60">(F105-1)*(L105*O105*K105+M105*N105*O105)+P$50*IF(H105=0,L105,N105)+(G105-1)*L105*O105+1</f>
        <v>41</v>
      </c>
      <c r="Q105" s="21">
        <f t="shared" ref="Q105" si="61">P105+1</f>
        <v>42</v>
      </c>
      <c r="R105" s="34">
        <f t="shared" ref="R105" si="62">(F105-1)*(L105*O105*K105+M105*N105*O105)+R$50*IF(H105=0,L105,N105)+(G105-1)*L105*O105+1</f>
        <v>43</v>
      </c>
      <c r="S105" s="34">
        <f t="shared" si="19"/>
        <v>44</v>
      </c>
      <c r="T105" s="34" cm="1">
        <f t="array" aca="1" ref="T105" ca="1">OFFSET(INDIRECT($E105),T$47,OFFSET($P105,0,T$50))</f>
        <v>15.4</v>
      </c>
      <c r="U105" s="34" cm="1">
        <f t="array" aca="1" ref="U105" ca="1">OFFSET(INDIRECT($E105),U$47,OFFSET($P105,0,U$50))</f>
        <v>28</v>
      </c>
      <c r="V105" s="34">
        <f t="shared" ca="1" si="45"/>
        <v>30</v>
      </c>
      <c r="W105" s="34">
        <f t="shared" ca="1" si="45"/>
        <v>35.799999999999997</v>
      </c>
      <c r="X105" s="34">
        <f t="shared" ca="1" si="35"/>
        <v>9.8000000000000007</v>
      </c>
      <c r="Y105" s="34" cm="1">
        <f t="array" aca="1" ref="Y105" ca="1">OFFSET(INDIRECT($E105),Y$47,OFFSET($P105,0,Y$50))</f>
        <v>14.1</v>
      </c>
      <c r="Z105" s="34" cm="1">
        <f t="array" aca="1" ref="Z105" ca="1">OFFSET(INDIRECT($E105),Z$47,OFFSET($P105,0,Z$50))</f>
        <v>29</v>
      </c>
      <c r="AA105" s="34">
        <f t="shared" ca="1" si="46"/>
        <v>30</v>
      </c>
      <c r="AB105" s="34">
        <f t="shared" ca="1" si="46"/>
        <v>41</v>
      </c>
      <c r="AC105" s="34">
        <f t="shared" ca="1" si="36"/>
        <v>4</v>
      </c>
      <c r="AD105" s="34">
        <f t="shared" ca="1" si="46"/>
        <v>30</v>
      </c>
      <c r="AE105" s="34">
        <f t="shared" ca="1" si="46"/>
        <v>41</v>
      </c>
      <c r="AF105" s="34">
        <f t="shared" ca="1" si="24"/>
        <v>4</v>
      </c>
      <c r="AG105" s="34" t="s">
        <v>325</v>
      </c>
      <c r="AH105" s="34" t="s">
        <v>117</v>
      </c>
      <c r="AI105" s="21" t="s">
        <v>536</v>
      </c>
    </row>
    <row r="106" spans="1:35">
      <c r="A106" s="34" t="str">
        <f t="shared" si="16"/>
        <v>IIIInnovationTotal</v>
      </c>
      <c r="B106" s="34" t="s">
        <v>325</v>
      </c>
      <c r="C106" s="34" t="s">
        <v>117</v>
      </c>
      <c r="D106" s="21" t="s">
        <v>4</v>
      </c>
      <c r="E106" s="34" t="s">
        <v>471</v>
      </c>
      <c r="F106" s="34">
        <v>12</v>
      </c>
      <c r="G106" s="34">
        <v>1</v>
      </c>
      <c r="H106" s="34">
        <v>0</v>
      </c>
      <c r="I106" s="34" t="str">
        <f t="shared" ca="1" si="25"/>
        <v>The higher, the better</v>
      </c>
      <c r="J106" s="34" t="str" cm="1">
        <f t="array" aca="1" ref="J106" ca="1">IFERROR(VLOOKUP(OFFSET(INDIRECT(E106),0,P106),Dict!$A$52:$B$57,2,FALSE),OFFSET(INDIRECT(E106),0,P106))</f>
        <v>Score</v>
      </c>
      <c r="K106" s="34">
        <v>1</v>
      </c>
      <c r="L106" s="34">
        <v>2</v>
      </c>
      <c r="M106" s="34">
        <v>0</v>
      </c>
      <c r="N106" s="34">
        <v>2</v>
      </c>
      <c r="O106" s="34">
        <v>2</v>
      </c>
      <c r="P106" s="21">
        <f t="shared" si="26"/>
        <v>45</v>
      </c>
      <c r="Q106" s="21">
        <f t="shared" si="34"/>
        <v>46</v>
      </c>
      <c r="R106" s="34">
        <f t="shared" si="18"/>
        <v>47</v>
      </c>
      <c r="S106" s="34">
        <f t="shared" si="19"/>
        <v>48</v>
      </c>
      <c r="T106" s="34" cm="1">
        <f t="array" aca="1" ref="T106" ca="1">OFFSET(INDIRECT($E106),T$47,OFFSET($P106,0,T$50))</f>
        <v>24.333333333333332</v>
      </c>
      <c r="U106" s="34" cm="1">
        <f t="array" aca="1" ref="U106" ca="1">OFFSET(INDIRECT($E106),U$47,OFFSET($P106,0,U$50))</f>
        <v>27</v>
      </c>
      <c r="V106" s="34">
        <f t="shared" ca="1" si="45"/>
        <v>30</v>
      </c>
      <c r="W106" s="34">
        <f t="shared" ca="1" si="45"/>
        <v>29.666666666666668</v>
      </c>
      <c r="X106" s="34">
        <f t="shared" ca="1" si="35"/>
        <v>3</v>
      </c>
      <c r="Y106" s="34" cm="1">
        <f t="array" aca="1" ref="Y106" ca="1">OFFSET(INDIRECT($E106),Y$47,OFFSET($P106,0,Y$50))</f>
        <v>26</v>
      </c>
      <c r="Z106" s="34" cm="1">
        <f t="array" aca="1" ref="Z106" ca="1">OFFSET(INDIRECT($E106),Z$47,OFFSET($P106,0,Z$50))</f>
        <v>28</v>
      </c>
      <c r="AA106" s="34">
        <f t="shared" ca="1" si="46"/>
        <v>30</v>
      </c>
      <c r="AB106" s="34">
        <f t="shared" ca="1" si="46"/>
        <v>28.333333333333332</v>
      </c>
      <c r="AC106" s="34">
        <f t="shared" ca="1" si="36"/>
        <v>2.6666666666666665</v>
      </c>
      <c r="AD106" s="34">
        <f t="shared" ca="1" si="46"/>
        <v>30</v>
      </c>
      <c r="AE106" s="34">
        <f t="shared" ca="1" si="46"/>
        <v>28.333333333333332</v>
      </c>
      <c r="AF106" s="34">
        <f t="shared" ca="1" si="24"/>
        <v>2.6666666666666665</v>
      </c>
      <c r="AG106" s="34" t="s">
        <v>325</v>
      </c>
      <c r="AH106" s="21" t="s">
        <v>619</v>
      </c>
      <c r="AI106" s="21" t="s">
        <v>4</v>
      </c>
    </row>
    <row r="107" spans="1:35">
      <c r="A107" s="34" t="str">
        <f t="shared" si="16"/>
        <v>IIITotal</v>
      </c>
      <c r="B107" s="34" t="s">
        <v>325</v>
      </c>
      <c r="C107" s="34" t="s">
        <v>4</v>
      </c>
      <c r="E107" s="34" t="s">
        <v>471</v>
      </c>
      <c r="F107" s="34">
        <v>13</v>
      </c>
      <c r="G107" s="34">
        <v>1</v>
      </c>
      <c r="H107" s="34">
        <v>1</v>
      </c>
      <c r="I107" s="34" t="str">
        <f t="shared" ca="1" si="25"/>
        <v>The higher, the better</v>
      </c>
      <c r="J107" s="34" t="str" cm="1">
        <f t="array" aca="1" ref="J107" ca="1">IFERROR(VLOOKUP(OFFSET(INDIRECT(E107),0,P107),Dict!$A$52:$B$57,2,FALSE),OFFSET(INDIRECT(E107),0,P107))</f>
        <v>Score</v>
      </c>
      <c r="K107" s="34">
        <v>1</v>
      </c>
      <c r="L107" s="34">
        <v>2</v>
      </c>
      <c r="M107" s="34">
        <v>0</v>
      </c>
      <c r="N107" s="34">
        <v>2</v>
      </c>
      <c r="O107" s="34">
        <v>2</v>
      </c>
      <c r="P107" s="21">
        <f t="shared" si="26"/>
        <v>49</v>
      </c>
      <c r="Q107" s="21">
        <f t="shared" si="34"/>
        <v>50</v>
      </c>
      <c r="R107" s="34">
        <f t="shared" si="18"/>
        <v>51</v>
      </c>
      <c r="S107" s="34">
        <f t="shared" si="19"/>
        <v>52</v>
      </c>
      <c r="T107" s="34" cm="1">
        <f t="array" aca="1" ref="T107" ca="1">OFFSET(INDIRECT($E107),T$47,OFFSET($P107,0,T$50))</f>
        <v>19.278000000000002</v>
      </c>
      <c r="U107" s="34" cm="1">
        <f t="array" aca="1" ref="U107" ca="1">OFFSET(INDIRECT($E107),U$47,OFFSET($P107,0,U$50))</f>
        <v>25</v>
      </c>
      <c r="V107" s="34">
        <f t="shared" ca="1" si="45"/>
        <v>30</v>
      </c>
      <c r="W107" s="34">
        <f t="shared" ca="1" si="45"/>
        <v>23.667000000000002</v>
      </c>
      <c r="X107" s="34">
        <f t="shared" ca="1" si="35"/>
        <v>6.056</v>
      </c>
      <c r="Y107" s="34" cm="1">
        <f t="array" aca="1" ref="Y107" ca="1">OFFSET(INDIRECT($E107),Y$47,OFFSET($P107,0,Y$50))</f>
        <v>19.667000000000002</v>
      </c>
      <c r="Z107" s="34" cm="1">
        <f t="array" aca="1" ref="Z107" ca="1">OFFSET(INDIRECT($E107),Z$47,OFFSET($P107,0,Z$50))</f>
        <v>27</v>
      </c>
      <c r="AA107" s="34">
        <f t="shared" ca="1" si="46"/>
        <v>30</v>
      </c>
      <c r="AB107" s="34">
        <f t="shared" ca="1" si="46"/>
        <v>25.584</v>
      </c>
      <c r="AC107" s="34">
        <f t="shared" ca="1" si="36"/>
        <v>7.0840000000000005</v>
      </c>
      <c r="AD107" s="34">
        <f t="shared" ca="1" si="46"/>
        <v>30</v>
      </c>
      <c r="AE107" s="34">
        <f t="shared" ca="1" si="46"/>
        <v>25.584</v>
      </c>
      <c r="AF107" s="34">
        <f t="shared" ca="1" si="24"/>
        <v>7.0840000000000005</v>
      </c>
      <c r="AG107" s="34" t="s">
        <v>325</v>
      </c>
      <c r="AH107" s="34" t="s">
        <v>4</v>
      </c>
    </row>
    <row r="108" spans="1:35">
      <c r="A108" s="34" t="str">
        <f t="shared" si="16"/>
        <v>Downstream demandPassenger EVTotal</v>
      </c>
      <c r="B108" s="34" t="s">
        <v>449</v>
      </c>
      <c r="C108" s="34" t="s">
        <v>49</v>
      </c>
      <c r="D108" s="564" t="s">
        <v>4</v>
      </c>
      <c r="E108" s="34" t="s">
        <v>472</v>
      </c>
      <c r="F108" s="34">
        <v>1</v>
      </c>
      <c r="G108" s="34">
        <v>1</v>
      </c>
      <c r="H108" s="34">
        <v>0</v>
      </c>
      <c r="I108" s="34" t="str">
        <f t="shared" si="25"/>
        <v>The higher, the better</v>
      </c>
      <c r="J108" s="34" t="str" cm="1">
        <f t="array" aca="1" ref="J108" ca="1">IFERROR(VLOOKUP(OFFSET(INDIRECT(E108),0,P108),Dict!$A$52:$B$57,2,FALSE),OFFSET(INDIRECT(E108),0,P108))</f>
        <v>Gigawatt-hours</v>
      </c>
      <c r="K108" s="34">
        <v>1</v>
      </c>
      <c r="L108" s="34">
        <v>2</v>
      </c>
      <c r="M108" s="34">
        <v>0</v>
      </c>
      <c r="N108" s="34">
        <v>0</v>
      </c>
      <c r="O108" s="34">
        <v>2</v>
      </c>
      <c r="P108" s="21">
        <f t="shared" si="26"/>
        <v>1</v>
      </c>
      <c r="Q108" s="21">
        <f t="shared" si="34"/>
        <v>2</v>
      </c>
      <c r="R108" s="34">
        <f t="shared" si="18"/>
        <v>3</v>
      </c>
      <c r="S108" s="34">
        <f t="shared" si="19"/>
        <v>4</v>
      </c>
      <c r="T108" s="34" cm="1">
        <f t="array" aca="1" ref="T108" ca="1">OFFSET(INDIRECT($E108),T$47,OFFSET($P108,0,T$50))</f>
        <v>1.8313448087944089E-2</v>
      </c>
      <c r="U108" s="34" cm="1">
        <f t="array" aca="1" ref="U108" ca="1">OFFSET(INDIRECT($E108),U$47,OFFSET($P108,0,U$50))</f>
        <v>28</v>
      </c>
      <c r="V108" s="34">
        <f t="shared" ca="1" si="45"/>
        <v>30</v>
      </c>
      <c r="W108" s="34">
        <f t="shared" ca="1" si="45"/>
        <v>260.36532002631475</v>
      </c>
      <c r="X108" s="34">
        <f t="shared" ca="1" si="35"/>
        <v>0</v>
      </c>
      <c r="Y108" s="34" cm="1">
        <f t="array" aca="1" ref="Y108" ca="1">OFFSET(INDIRECT($E108),Y$47,OFFSET($P108,0,Y$50))</f>
        <v>0.02</v>
      </c>
      <c r="Z108" s="34" cm="1">
        <f t="array" aca="1" ref="Z108" ca="1">OFFSET(INDIRECT($E108),Z$47,OFFSET($P108,0,Z$50))</f>
        <v>26</v>
      </c>
      <c r="AA108" s="34">
        <f t="shared" ca="1" si="46"/>
        <v>28</v>
      </c>
      <c r="AB108" s="34">
        <f t="shared" ca="1" si="46"/>
        <v>261.32</v>
      </c>
      <c r="AC108" s="34">
        <f t="shared" ca="1" si="36"/>
        <v>0</v>
      </c>
      <c r="AD108" s="34">
        <f t="shared" ca="1" si="46"/>
        <v>28</v>
      </c>
      <c r="AE108" s="34">
        <f t="shared" ca="1" si="46"/>
        <v>261.32</v>
      </c>
      <c r="AF108" s="34">
        <f t="shared" ca="1" si="24"/>
        <v>0</v>
      </c>
      <c r="AG108" s="34" t="s">
        <v>449</v>
      </c>
      <c r="AH108" s="21" t="s">
        <v>503</v>
      </c>
      <c r="AI108" s="34" t="s">
        <v>49</v>
      </c>
    </row>
    <row r="109" spans="1:35">
      <c r="A109" s="34" t="str">
        <f t="shared" si="16"/>
        <v>Downstream demandCommercial EVTotal</v>
      </c>
      <c r="B109" s="34" t="s">
        <v>449</v>
      </c>
      <c r="C109" s="34" t="s">
        <v>51</v>
      </c>
      <c r="D109" s="564" t="s">
        <v>4</v>
      </c>
      <c r="E109" s="34" t="s">
        <v>472</v>
      </c>
      <c r="F109" s="34">
        <v>2</v>
      </c>
      <c r="G109" s="34">
        <v>1</v>
      </c>
      <c r="H109" s="34">
        <v>0</v>
      </c>
      <c r="I109" s="34" t="str">
        <f t="shared" si="25"/>
        <v>The higher, the better</v>
      </c>
      <c r="J109" s="34" t="str" cm="1">
        <f t="array" aca="1" ref="J109" ca="1">IFERROR(VLOOKUP(OFFSET(INDIRECT(E109),0,P109),Dict!$A$52:$B$57,2,FALSE),OFFSET(INDIRECT(E109),0,P109))</f>
        <v>Gigawatt-hours</v>
      </c>
      <c r="K109" s="34">
        <v>1</v>
      </c>
      <c r="L109" s="34">
        <v>2</v>
      </c>
      <c r="M109" s="34">
        <v>0</v>
      </c>
      <c r="N109" s="34">
        <v>0</v>
      </c>
      <c r="O109" s="34">
        <v>2</v>
      </c>
      <c r="P109" s="21">
        <f t="shared" si="26"/>
        <v>5</v>
      </c>
      <c r="Q109" s="21">
        <f t="shared" si="34"/>
        <v>6</v>
      </c>
      <c r="R109" s="34">
        <f t="shared" si="18"/>
        <v>7</v>
      </c>
      <c r="S109" s="34">
        <f t="shared" si="19"/>
        <v>8</v>
      </c>
      <c r="T109" s="34" cm="1">
        <f t="array" aca="1" ref="T109" ca="1">OFFSET(INDIRECT($E109),T$47,OFFSET($P109,0,T$50))</f>
        <v>3.2689800000000005E-2</v>
      </c>
      <c r="U109" s="34" cm="1">
        <f t="array" aca="1" ref="U109" ca="1">OFFSET(INDIRECT($E109),U$47,OFFSET($P109,0,U$50))</f>
        <v>20</v>
      </c>
      <c r="V109" s="34">
        <f t="shared" ca="1" si="45"/>
        <v>29</v>
      </c>
      <c r="W109" s="34">
        <f t="shared" ca="1" si="45"/>
        <v>12.384685745394627</v>
      </c>
      <c r="X109" s="34">
        <f t="shared" ca="1" si="35"/>
        <v>0</v>
      </c>
      <c r="Y109" s="34" cm="1">
        <f t="array" aca="1" ref="Y109" ca="1">OFFSET(INDIRECT($E109),Y$47,OFFSET($P109,0,Y$50))</f>
        <v>0</v>
      </c>
      <c r="Z109" s="34" cm="1">
        <f t="array" aca="1" ref="Z109" ca="1">OFFSET(INDIRECT($E109),Z$47,OFFSET($P109,0,Z$50))</f>
        <v>17</v>
      </c>
      <c r="AA109" s="34">
        <f t="shared" ca="1" si="46"/>
        <v>17</v>
      </c>
      <c r="AB109" s="34">
        <f t="shared" ca="1" si="46"/>
        <v>29.24</v>
      </c>
      <c r="AC109" s="34">
        <f t="shared" ca="1" si="36"/>
        <v>0</v>
      </c>
      <c r="AD109" s="34">
        <f t="shared" ca="1" si="46"/>
        <v>17</v>
      </c>
      <c r="AE109" s="34">
        <f t="shared" ca="1" si="46"/>
        <v>29.24</v>
      </c>
      <c r="AF109" s="34">
        <f t="shared" ca="1" si="24"/>
        <v>0</v>
      </c>
      <c r="AG109" s="34" t="s">
        <v>449</v>
      </c>
      <c r="AH109" s="21" t="s">
        <v>503</v>
      </c>
      <c r="AI109" s="34" t="s">
        <v>51</v>
      </c>
    </row>
    <row r="110" spans="1:35">
      <c r="A110" s="34" t="str">
        <f t="shared" si="16"/>
        <v>Downstream demandStationary StorageTotal</v>
      </c>
      <c r="B110" s="34" t="s">
        <v>449</v>
      </c>
      <c r="C110" s="34" t="s">
        <v>52</v>
      </c>
      <c r="D110" s="564" t="s">
        <v>4</v>
      </c>
      <c r="E110" s="34" t="s">
        <v>472</v>
      </c>
      <c r="F110" s="34">
        <v>5</v>
      </c>
      <c r="G110" s="34">
        <v>1</v>
      </c>
      <c r="H110" s="34">
        <v>0</v>
      </c>
      <c r="I110" s="34" t="str">
        <f t="shared" si="25"/>
        <v>The higher, the better</v>
      </c>
      <c r="J110" s="34" t="str" cm="1">
        <f t="array" aca="1" ref="J110" ca="1">IFERROR(VLOOKUP(OFFSET(INDIRECT(E110),0,P110),Dict!$A$52:$B$57,2,FALSE),OFFSET(INDIRECT(E110),0,P110))</f>
        <v>Gigawatt-hours</v>
      </c>
      <c r="K110" s="34">
        <v>1</v>
      </c>
      <c r="L110" s="34">
        <v>2</v>
      </c>
      <c r="M110" s="34">
        <v>0</v>
      </c>
      <c r="N110" s="34">
        <v>0</v>
      </c>
      <c r="O110" s="34">
        <v>2</v>
      </c>
      <c r="P110" s="21">
        <f t="shared" si="26"/>
        <v>17</v>
      </c>
      <c r="Q110" s="21">
        <f t="shared" si="34"/>
        <v>18</v>
      </c>
      <c r="R110" s="34">
        <f t="shared" si="18"/>
        <v>19</v>
      </c>
      <c r="S110" s="34">
        <f t="shared" si="19"/>
        <v>20</v>
      </c>
      <c r="T110" s="34" cm="1">
        <f t="array" aca="1" ref="T110" ca="1">OFFSET(INDIRECT($E110),T$47,OFFSET($P110,0,T$50))</f>
        <v>6.3701439988219305E-3</v>
      </c>
      <c r="U110" s="34" cm="1">
        <f t="array" aca="1" ref="U110" ca="1">OFFSET(INDIRECT($E110),U$47,OFFSET($P110,0,U$50))</f>
        <v>24</v>
      </c>
      <c r="V110" s="34">
        <f t="shared" ca="1" si="45"/>
        <v>30</v>
      </c>
      <c r="W110" s="34">
        <f t="shared" ca="1" si="45"/>
        <v>13.478841652229233</v>
      </c>
      <c r="X110" s="34">
        <f t="shared" ca="1" si="35"/>
        <v>0</v>
      </c>
      <c r="Y110" s="34" cm="1">
        <f t="array" aca="1" ref="Y110" ca="1">OFFSET(INDIRECT($E110),Y$47,OFFSET($P110,0,Y$50))</f>
        <v>1.9190328259672498E-2</v>
      </c>
      <c r="Z110" s="34" cm="1">
        <f t="array" aca="1" ref="Z110" ca="1">OFFSET(INDIRECT($E110),Z$47,OFFSET($P110,0,Z$50))</f>
        <v>24</v>
      </c>
      <c r="AA110" s="34">
        <f t="shared" ca="1" si="46"/>
        <v>30</v>
      </c>
      <c r="AB110" s="34">
        <f t="shared" ca="1" si="46"/>
        <v>44.066922811094059</v>
      </c>
      <c r="AC110" s="34">
        <f t="shared" ca="1" si="36"/>
        <v>7.5781839224281561E-6</v>
      </c>
      <c r="AD110" s="34">
        <f t="shared" ca="1" si="46"/>
        <v>30</v>
      </c>
      <c r="AE110" s="34">
        <f t="shared" ca="1" si="46"/>
        <v>44.066922811094059</v>
      </c>
      <c r="AF110" s="34">
        <f t="shared" ca="1" si="24"/>
        <v>7.5781839224281561E-6</v>
      </c>
      <c r="AG110" s="34" t="s">
        <v>449</v>
      </c>
      <c r="AH110" s="21" t="s">
        <v>503</v>
      </c>
      <c r="AI110" s="34" t="s">
        <v>52</v>
      </c>
    </row>
    <row r="111" spans="1:35">
      <c r="A111" s="34" t="str">
        <f t="shared" si="16"/>
        <v>Downstream demandE-busTotal</v>
      </c>
      <c r="B111" s="34" t="s">
        <v>449</v>
      </c>
      <c r="C111" s="34" t="s">
        <v>53</v>
      </c>
      <c r="D111" s="564" t="s">
        <v>4</v>
      </c>
      <c r="E111" s="34" t="s">
        <v>472</v>
      </c>
      <c r="F111" s="34">
        <v>3</v>
      </c>
      <c r="G111" s="34">
        <v>1</v>
      </c>
      <c r="H111" s="34">
        <v>0</v>
      </c>
      <c r="I111" s="34" t="str">
        <f t="shared" si="25"/>
        <v>The higher, the better</v>
      </c>
      <c r="J111" s="34" t="str" cm="1">
        <f t="array" aca="1" ref="J111" ca="1">IFERROR(VLOOKUP(OFFSET(INDIRECT(E111),0,P111),Dict!$A$52:$B$57,2,FALSE),OFFSET(INDIRECT(E111),0,P111))</f>
        <v>Gigawatt-hours</v>
      </c>
      <c r="K111" s="34">
        <v>1</v>
      </c>
      <c r="L111" s="34">
        <v>2</v>
      </c>
      <c r="M111" s="34">
        <v>0</v>
      </c>
      <c r="N111" s="34">
        <v>0</v>
      </c>
      <c r="O111" s="34">
        <v>2</v>
      </c>
      <c r="P111" s="21">
        <f t="shared" si="26"/>
        <v>9</v>
      </c>
      <c r="Q111" s="21">
        <f t="shared" si="34"/>
        <v>10</v>
      </c>
      <c r="R111" s="34">
        <f t="shared" si="18"/>
        <v>11</v>
      </c>
      <c r="S111" s="34">
        <f t="shared" si="19"/>
        <v>12</v>
      </c>
      <c r="T111" s="34" cm="1">
        <f t="array" aca="1" ref="T111" ca="1">OFFSET(INDIRECT($E111),T$47,OFFSET($P111,0,T$50))</f>
        <v>5.9199999999999999E-3</v>
      </c>
      <c r="U111" s="34" cm="1">
        <f t="array" aca="1" ref="U111" ca="1">OFFSET(INDIRECT($E111),U$47,OFFSET($P111,0,U$50))</f>
        <v>22</v>
      </c>
      <c r="V111" s="34">
        <f t="shared" ca="1" si="45"/>
        <v>29</v>
      </c>
      <c r="W111" s="34">
        <f t="shared" ca="1" si="45"/>
        <v>18.927365501749108</v>
      </c>
      <c r="X111" s="34">
        <f t="shared" ca="1" si="35"/>
        <v>0</v>
      </c>
      <c r="Y111" s="34" cm="1">
        <f t="array" aca="1" ref="Y111" ca="1">OFFSET(INDIRECT($E111),Y$47,OFFSET($P111,0,Y$50))</f>
        <v>0.01</v>
      </c>
      <c r="Z111" s="34" cm="1">
        <f t="array" aca="1" ref="Z111" ca="1">OFFSET(INDIRECT($E111),Z$47,OFFSET($P111,0,Z$50))</f>
        <v>18</v>
      </c>
      <c r="AA111" s="34">
        <f t="shared" ca="1" si="46"/>
        <v>23</v>
      </c>
      <c r="AB111" s="34">
        <f t="shared" ca="1" si="46"/>
        <v>7.61</v>
      </c>
      <c r="AC111" s="34">
        <f t="shared" ca="1" si="36"/>
        <v>0</v>
      </c>
      <c r="AD111" s="34">
        <f t="shared" ca="1" si="46"/>
        <v>23</v>
      </c>
      <c r="AE111" s="34">
        <f t="shared" ca="1" si="46"/>
        <v>7.61</v>
      </c>
      <c r="AF111" s="34">
        <f t="shared" ca="1" si="24"/>
        <v>0</v>
      </c>
      <c r="AG111" s="34" t="s">
        <v>449</v>
      </c>
      <c r="AH111" s="21" t="s">
        <v>503</v>
      </c>
      <c r="AI111" s="34" t="s">
        <v>53</v>
      </c>
    </row>
    <row r="112" spans="1:35">
      <c r="A112" s="34" t="str">
        <f t="shared" si="16"/>
        <v>Downstream demand2 &amp; 3 WheelersTotal</v>
      </c>
      <c r="B112" s="34" t="s">
        <v>449</v>
      </c>
      <c r="C112" s="34" t="s">
        <v>54</v>
      </c>
      <c r="D112" s="564" t="s">
        <v>4</v>
      </c>
      <c r="E112" s="34" t="s">
        <v>472</v>
      </c>
      <c r="F112" s="34">
        <v>4</v>
      </c>
      <c r="G112" s="34">
        <v>1</v>
      </c>
      <c r="H112" s="34">
        <v>0</v>
      </c>
      <c r="I112" s="34" t="str">
        <f t="shared" si="25"/>
        <v>The higher, the better</v>
      </c>
      <c r="J112" s="34" t="str" cm="1">
        <f t="array" aca="1" ref="J112" ca="1">IFERROR(VLOOKUP(OFFSET(INDIRECT(E112),0,P112),Dict!$A$52:$B$57,2,FALSE),OFFSET(INDIRECT(E112),0,P112))</f>
        <v>Gigawatt-hours</v>
      </c>
      <c r="K112" s="34">
        <v>1</v>
      </c>
      <c r="L112" s="34">
        <v>2</v>
      </c>
      <c r="M112" s="34">
        <v>0</v>
      </c>
      <c r="N112" s="34">
        <v>0</v>
      </c>
      <c r="O112" s="34">
        <v>2</v>
      </c>
      <c r="P112" s="21">
        <f t="shared" si="26"/>
        <v>13</v>
      </c>
      <c r="Q112" s="21">
        <f t="shared" si="34"/>
        <v>14</v>
      </c>
      <c r="R112" s="34">
        <f t="shared" si="18"/>
        <v>15</v>
      </c>
      <c r="S112" s="34">
        <f t="shared" si="19"/>
        <v>16</v>
      </c>
      <c r="T112" s="34" cm="1">
        <f t="array" aca="1" ref="T112" ca="1">OFFSET(INDIRECT($E112),T$47,OFFSET($P112,0,T$50))</f>
        <v>0</v>
      </c>
      <c r="U112" s="34" cm="1">
        <f t="array" aca="1" ref="U112" ca="1">OFFSET(INDIRECT($E112),U$47,OFFSET($P112,0,U$50))</f>
        <v>22</v>
      </c>
      <c r="V112" s="34">
        <f t="shared" ca="1" si="45"/>
        <v>22</v>
      </c>
      <c r="W112" s="34">
        <f t="shared" ca="1" si="45"/>
        <v>31.014423076947804</v>
      </c>
      <c r="X112" s="34">
        <f t="shared" ca="1" si="35"/>
        <v>0</v>
      </c>
      <c r="Y112" s="34" cm="1">
        <f t="array" aca="1" ref="Y112" ca="1">OFFSET(INDIRECT($E112),Y$47,OFFSET($P112,0,Y$50))</f>
        <v>0</v>
      </c>
      <c r="Z112" s="34" cm="1">
        <f t="array" aca="1" ref="Z112" ca="1">OFFSET(INDIRECT($E112),Z$47,OFFSET($P112,0,Z$50))</f>
        <v>13</v>
      </c>
      <c r="AA112" s="34">
        <f t="shared" ca="1" si="46"/>
        <v>13</v>
      </c>
      <c r="AB112" s="34">
        <f t="shared" ca="1" si="46"/>
        <v>27.12</v>
      </c>
      <c r="AC112" s="34">
        <f t="shared" ca="1" si="36"/>
        <v>0</v>
      </c>
      <c r="AD112" s="34">
        <f t="shared" ca="1" si="46"/>
        <v>13</v>
      </c>
      <c r="AE112" s="34">
        <f t="shared" ca="1" si="46"/>
        <v>27.12</v>
      </c>
      <c r="AF112" s="34">
        <f t="shared" ca="1" si="24"/>
        <v>0</v>
      </c>
      <c r="AG112" s="34" t="s">
        <v>449</v>
      </c>
      <c r="AH112" s="21" t="s">
        <v>503</v>
      </c>
      <c r="AI112" s="34" t="s">
        <v>54</v>
      </c>
    </row>
    <row r="113" spans="1:35">
      <c r="A113" s="34" t="str">
        <f t="shared" si="16"/>
        <v>Downstream demandDomestic demandTotal</v>
      </c>
      <c r="B113" s="34" t="s">
        <v>449</v>
      </c>
      <c r="C113" s="21" t="s">
        <v>503</v>
      </c>
      <c r="D113" s="564" t="s">
        <v>4</v>
      </c>
      <c r="E113" s="34" t="s">
        <v>472</v>
      </c>
      <c r="F113" s="34">
        <v>6</v>
      </c>
      <c r="G113" s="34">
        <v>1</v>
      </c>
      <c r="H113" s="34">
        <v>0</v>
      </c>
      <c r="I113" s="34" t="str">
        <f t="shared" ca="1" si="25"/>
        <v>The higher, the better</v>
      </c>
      <c r="J113" s="34" t="str" cm="1">
        <f t="array" aca="1" ref="J113" ca="1">IFERROR(VLOOKUP(OFFSET(INDIRECT(E113),0,P113),Dict!$A$52:$B$57,2,FALSE),OFFSET(INDIRECT(E113),0,P113))</f>
        <v>Gigawatt-hours</v>
      </c>
      <c r="K113" s="34">
        <v>1</v>
      </c>
      <c r="L113" s="34">
        <v>2</v>
      </c>
      <c r="M113" s="34">
        <v>0</v>
      </c>
      <c r="N113" s="34">
        <v>0</v>
      </c>
      <c r="O113" s="34">
        <v>2</v>
      </c>
      <c r="P113" s="21">
        <f t="shared" si="26"/>
        <v>21</v>
      </c>
      <c r="Q113" s="21">
        <f t="shared" si="34"/>
        <v>22</v>
      </c>
      <c r="R113" s="34">
        <f t="shared" si="18"/>
        <v>23</v>
      </c>
      <c r="S113" s="34">
        <f t="shared" si="19"/>
        <v>24</v>
      </c>
      <c r="T113" s="34" cm="1">
        <f t="array" aca="1" ref="T113" ca="1">OFFSET(INDIRECT($E113),T$47,OFFSET($P113,0,T$50))</f>
        <v>6.3293392086766029E-2</v>
      </c>
      <c r="U113" s="34" cm="1">
        <f t="array" aca="1" ref="U113" ca="1">OFFSET(INDIRECT($E113),U$47,OFFSET($P113,0,U$50))</f>
        <v>27</v>
      </c>
      <c r="V113" s="34">
        <f t="shared" ca="1" si="45"/>
        <v>30</v>
      </c>
      <c r="W113" s="34">
        <f t="shared" ca="1" si="45"/>
        <v>333.66268953790626</v>
      </c>
      <c r="X113" s="34">
        <f t="shared" ca="1" si="35"/>
        <v>1.2347826086956523E-3</v>
      </c>
      <c r="Y113" s="34" cm="1">
        <f t="array" aca="1" ref="Y113" ca="1">OFFSET(INDIRECT($E113),Y$47,OFFSET($P113,0,Y$50))</f>
        <v>4.9190328259672497E-2</v>
      </c>
      <c r="Z113" s="34" cm="1">
        <f t="array" aca="1" ref="Z113" ca="1">OFFSET(INDIRECT($E113),Z$47,OFFSET($P113,0,Z$50))</f>
        <v>27</v>
      </c>
      <c r="AA113" s="34">
        <f t="shared" ca="1" si="46"/>
        <v>30</v>
      </c>
      <c r="AB113" s="34">
        <f t="shared" ca="1" si="46"/>
        <v>369.35692281109408</v>
      </c>
      <c r="AC113" s="34">
        <f t="shared" ca="1" si="36"/>
        <v>1.2717391304347828E-3</v>
      </c>
      <c r="AD113" s="34">
        <f t="shared" ca="1" si="46"/>
        <v>30</v>
      </c>
      <c r="AE113" s="34">
        <f t="shared" ca="1" si="46"/>
        <v>369.35692281109408</v>
      </c>
      <c r="AF113" s="34">
        <f t="shared" ca="1" si="24"/>
        <v>1.2717391304347828E-3</v>
      </c>
      <c r="AG113" s="34" t="s">
        <v>449</v>
      </c>
      <c r="AH113" s="21" t="s">
        <v>503</v>
      </c>
      <c r="AI113" s="564" t="s">
        <v>4</v>
      </c>
    </row>
    <row r="114" spans="1:35">
      <c r="A114" s="34" t="str">
        <f t="shared" si="16"/>
        <v>Downstream demandRegional demandTotal</v>
      </c>
      <c r="B114" s="34" t="s">
        <v>449</v>
      </c>
      <c r="C114" s="34" t="s">
        <v>168</v>
      </c>
      <c r="D114" s="564" t="s">
        <v>4</v>
      </c>
      <c r="E114" s="34" t="s">
        <v>472</v>
      </c>
      <c r="F114" s="34">
        <v>7</v>
      </c>
      <c r="G114" s="34">
        <v>1</v>
      </c>
      <c r="H114" s="34">
        <v>0</v>
      </c>
      <c r="I114" s="34" t="str">
        <f t="shared" si="25"/>
        <v>The higher, the better</v>
      </c>
      <c r="J114" s="34" t="str" cm="1">
        <f t="array" aca="1" ref="J114" ca="1">IFERROR(VLOOKUP(OFFSET(INDIRECT(E114),0,P114),Dict!$A$52:$B$57,2,FALSE),OFFSET(INDIRECT(E114),0,P114))</f>
        <v>Gigawatt-hours</v>
      </c>
      <c r="K114" s="34">
        <v>1</v>
      </c>
      <c r="L114" s="34">
        <v>2</v>
      </c>
      <c r="M114" s="34">
        <v>0</v>
      </c>
      <c r="N114" s="34">
        <v>0</v>
      </c>
      <c r="O114" s="34">
        <v>2</v>
      </c>
      <c r="P114" s="21">
        <f t="shared" si="26"/>
        <v>25</v>
      </c>
      <c r="Q114" s="21">
        <f t="shared" si="34"/>
        <v>26</v>
      </c>
      <c r="R114" s="34">
        <f t="shared" si="18"/>
        <v>27</v>
      </c>
      <c r="S114" s="34">
        <f t="shared" si="19"/>
        <v>28</v>
      </c>
      <c r="T114" s="34" cm="1">
        <f t="array" aca="1" ref="T114" ca="1">OFFSET(INDIRECT($E114),T$47,OFFSET($P114,0,T$50))</f>
        <v>1.2367777209877688</v>
      </c>
      <c r="U114" s="34" cm="1">
        <f t="array" aca="1" ref="U114" ca="1">OFFSET(INDIRECT($E114),U$47,OFFSET($P114,0,U$50))</f>
        <v>5.0000000000000018</v>
      </c>
      <c r="V114" s="34">
        <f t="shared" ca="1" si="45"/>
        <v>6.0000000000000009</v>
      </c>
      <c r="W114" s="34">
        <f t="shared" ca="1" si="45"/>
        <v>351.84916177531221</v>
      </c>
      <c r="X114" s="34">
        <f t="shared" ca="1" si="35"/>
        <v>0.15711286909346431</v>
      </c>
      <c r="Y114" s="34" cm="1">
        <f t="array" aca="1" ref="Y114" ca="1">OFFSET(INDIRECT($E114),Y$47,OFFSET($P114,0,Y$50))</f>
        <v>4.5199999999999996</v>
      </c>
      <c r="Z114" s="34" cm="1">
        <f t="array" aca="1" ref="Z114" ca="1">OFFSET(INDIRECT($E114),Z$47,OFFSET($P114,0,Z$50))</f>
        <v>5.0000000000000018</v>
      </c>
      <c r="AA114" s="34">
        <f t="shared" ca="1" si="46"/>
        <v>6.0000000000000009</v>
      </c>
      <c r="AB114" s="34">
        <f t="shared" ca="1" si="46"/>
        <v>387.3</v>
      </c>
      <c r="AC114" s="34">
        <f t="shared" ca="1" si="36"/>
        <v>1.62</v>
      </c>
      <c r="AD114" s="34">
        <f t="shared" ca="1" si="46"/>
        <v>6.0000000000000009</v>
      </c>
      <c r="AE114" s="34">
        <f t="shared" ca="1" si="46"/>
        <v>387.3</v>
      </c>
      <c r="AF114" s="34">
        <f t="shared" ca="1" si="24"/>
        <v>1.62</v>
      </c>
      <c r="AG114" s="34" t="s">
        <v>449</v>
      </c>
      <c r="AH114" s="34" t="s">
        <v>168</v>
      </c>
      <c r="AI114" s="564" t="s">
        <v>4</v>
      </c>
    </row>
    <row r="115" spans="1:35">
      <c r="A115" s="34" t="str">
        <f>B115&amp;C115&amp;D115</f>
        <v>Downstream demandTotal</v>
      </c>
      <c r="B115" s="34" t="s">
        <v>449</v>
      </c>
      <c r="C115" s="34" t="s">
        <v>4</v>
      </c>
      <c r="D115" s="564"/>
      <c r="E115" s="34" t="s">
        <v>472</v>
      </c>
      <c r="F115" s="34">
        <v>8</v>
      </c>
      <c r="G115" s="34">
        <v>1</v>
      </c>
      <c r="H115" s="34">
        <v>0</v>
      </c>
      <c r="I115" s="34" t="str">
        <f t="shared" ca="1" si="25"/>
        <v>The higher, the better</v>
      </c>
      <c r="J115" s="34" t="str" cm="1">
        <f t="array" aca="1" ref="J115" ca="1">IFERROR(VLOOKUP(OFFSET(INDIRECT(E115),0,P115),Dict!$A$52:$B$57,2,FALSE),OFFSET(INDIRECT(E115),0,P115))</f>
        <v>Score</v>
      </c>
      <c r="K115" s="34">
        <v>1</v>
      </c>
      <c r="L115" s="34">
        <v>2</v>
      </c>
      <c r="M115" s="34">
        <v>0</v>
      </c>
      <c r="N115" s="34">
        <v>0</v>
      </c>
      <c r="O115" s="34">
        <v>2</v>
      </c>
      <c r="P115" s="21">
        <f t="shared" si="26"/>
        <v>29</v>
      </c>
      <c r="Q115" s="21">
        <f t="shared" si="34"/>
        <v>30</v>
      </c>
      <c r="R115" s="34">
        <f>(F115-1)*(L115*O115*K115+M115*N115*O115)+R$50*IF(H115=0,L115,N115)+(G115-1)*L115*O115+1</f>
        <v>31</v>
      </c>
      <c r="S115" s="34">
        <f>R115+1</f>
        <v>32</v>
      </c>
      <c r="T115" s="34" cm="1">
        <f t="array" aca="1" ref="T115" ca="1">OFFSET(INDIRECT($E115),T$47,OFFSET($P115,0,T$50))</f>
        <v>16</v>
      </c>
      <c r="U115" s="34" cm="1">
        <f t="array" aca="1" ref="U115" ca="1">OFFSET(INDIRECT($E115),U$47,OFFSET($P115,0,U$50))</f>
        <v>26</v>
      </c>
      <c r="V115" s="34">
        <f t="shared" ca="1" si="45"/>
        <v>30</v>
      </c>
      <c r="W115" s="34">
        <f t="shared" ca="1" si="45"/>
        <v>18</v>
      </c>
      <c r="X115" s="34">
        <f t="shared" ca="1" si="35"/>
        <v>1</v>
      </c>
      <c r="Y115" s="34" cm="1">
        <f t="array" aca="1" ref="Y115" ca="1">OFFSET(INDIRECT($E115),Y$47,OFFSET($P115,0,Y$50))</f>
        <v>16</v>
      </c>
      <c r="Z115" s="34" cm="1">
        <f t="array" aca="1" ref="Z115" ca="1">OFFSET(INDIRECT($E115),Z$47,OFFSET($P115,0,Z$50))</f>
        <v>26</v>
      </c>
      <c r="AA115" s="34">
        <f t="shared" ca="1" si="46"/>
        <v>30</v>
      </c>
      <c r="AB115" s="34">
        <f t="shared" ca="1" si="46"/>
        <v>18</v>
      </c>
      <c r="AC115" s="34">
        <f t="shared" ca="1" si="36"/>
        <v>1</v>
      </c>
      <c r="AD115" s="34">
        <f t="shared" ca="1" si="46"/>
        <v>30</v>
      </c>
      <c r="AE115" s="34">
        <f t="shared" ca="1" si="46"/>
        <v>18</v>
      </c>
      <c r="AF115" s="34">
        <f t="shared" ca="1" si="24"/>
        <v>1</v>
      </c>
      <c r="AG115" s="34" t="s">
        <v>449</v>
      </c>
      <c r="AH115" s="34" t="s">
        <v>4</v>
      </c>
      <c r="AI115" s="564"/>
    </row>
    <row r="126" spans="1:35">
      <c r="A126" s="295" t="s">
        <v>119</v>
      </c>
      <c r="B126" s="295" t="s">
        <v>496</v>
      </c>
      <c r="C126" s="295" t="s">
        <v>507</v>
      </c>
      <c r="K126" s="579" t="s">
        <v>333</v>
      </c>
    </row>
    <row r="127" spans="1:35">
      <c r="A127" s="566" t="s">
        <v>79</v>
      </c>
      <c r="B127" s="566" t="s">
        <v>34</v>
      </c>
      <c r="C127" s="542" t="s">
        <v>333</v>
      </c>
      <c r="D127" s="34" t="str">
        <f t="shared" ref="D127:E127" si="63">IF(A127="",D126,A127)</f>
        <v>Raw materials</v>
      </c>
      <c r="E127" s="34" t="str">
        <f t="shared" si="63"/>
        <v>Cobalt</v>
      </c>
      <c r="F127" s="34" t="str">
        <f>D127&amp;E127&amp;C127</f>
        <v>Raw materialsCobaltReserves</v>
      </c>
      <c r="G127" s="34" t="str">
        <f>Sources!E8</f>
        <v>US Geological Survey, BloombergNEF</v>
      </c>
      <c r="H127" s="34" t="str">
        <f>Sources!F8</f>
        <v>The higher, the better</v>
      </c>
      <c r="I127" s="34" t="str">
        <f>Sources!G8</f>
        <v>Company websites, US Geological Survey, BloombergNEF</v>
      </c>
      <c r="J127" s="34" t="str">
        <f>Sources!H8</f>
        <v>The higher, the better</v>
      </c>
      <c r="K127" s="542" t="s">
        <v>509</v>
      </c>
    </row>
    <row r="128" spans="1:35">
      <c r="A128" s="567"/>
      <c r="B128" s="567"/>
      <c r="C128" s="278" t="s">
        <v>509</v>
      </c>
      <c r="D128" s="34" t="str">
        <f t="shared" ref="D128:D173" si="64">IF(A128="",D127,A128)</f>
        <v>Raw materials</v>
      </c>
      <c r="E128" s="34" t="str">
        <f t="shared" ref="E128:E173" si="65">IF(B128="",E127,B128)</f>
        <v>Cobalt</v>
      </c>
      <c r="F128" s="34" t="str">
        <f t="shared" ref="F128:F173" si="66">D128&amp;E128&amp;C128</f>
        <v>Raw materialsCobaltMined supply</v>
      </c>
      <c r="G128" s="34" t="str">
        <f>Sources!E9</f>
        <v>BloombergNEF</v>
      </c>
      <c r="H128" s="34" t="str">
        <f>Sources!F9</f>
        <v>The higher, the better</v>
      </c>
      <c r="I128" s="34" t="str">
        <f>Sources!G9</f>
        <v>BloombergNEF</v>
      </c>
      <c r="J128" s="34" t="str">
        <f>Sources!H9</f>
        <v>The higher, the better</v>
      </c>
      <c r="K128" s="278" t="s">
        <v>510</v>
      </c>
    </row>
    <row r="129" spans="1:11">
      <c r="A129" s="567"/>
      <c r="B129" s="567"/>
      <c r="C129" s="278" t="s">
        <v>510</v>
      </c>
      <c r="D129" s="34" t="str">
        <f t="shared" si="64"/>
        <v>Raw materials</v>
      </c>
      <c r="E129" s="34" t="str">
        <f t="shared" si="65"/>
        <v>Cobalt</v>
      </c>
      <c r="F129" s="34" t="str">
        <f t="shared" si="66"/>
        <v>Raw materialsCobaltRefined supply</v>
      </c>
      <c r="G129" s="34" t="str">
        <f>Sources!E10</f>
        <v>BloombergNEF</v>
      </c>
      <c r="H129" s="34" t="str">
        <f>Sources!F10</f>
        <v>The higher, the better</v>
      </c>
      <c r="I129" s="34" t="str">
        <f>Sources!G10</f>
        <v>BloombergNEF</v>
      </c>
      <c r="J129" s="34" t="str">
        <f>Sources!H10</f>
        <v>The higher, the better</v>
      </c>
      <c r="K129" s="278" t="s">
        <v>333</v>
      </c>
    </row>
    <row r="130" spans="1:11">
      <c r="A130" s="567"/>
      <c r="B130" s="567" t="s">
        <v>499</v>
      </c>
      <c r="C130" s="278" t="s">
        <v>333</v>
      </c>
      <c r="D130" s="34" t="str">
        <f t="shared" si="64"/>
        <v>Raw materials</v>
      </c>
      <c r="E130" s="34" t="str">
        <f t="shared" si="65"/>
        <v>Graphite (Natural)</v>
      </c>
      <c r="F130" s="34" t="str">
        <f t="shared" si="66"/>
        <v>Raw materialsGraphite (Natural)Reserves</v>
      </c>
      <c r="G130" s="34" t="str">
        <f>Sources!E11</f>
        <v>US Geological Survey, BloombergNEF</v>
      </c>
      <c r="H130" s="34" t="str">
        <f>Sources!F11</f>
        <v>The higher, the better</v>
      </c>
      <c r="I130" s="34" t="str">
        <f>Sources!G11</f>
        <v>Company websites, US Geological Survey, BloombergNEF</v>
      </c>
      <c r="J130" s="34" t="str">
        <f>Sources!H11</f>
        <v>The higher, the better</v>
      </c>
      <c r="K130" s="278" t="s">
        <v>509</v>
      </c>
    </row>
    <row r="131" spans="1:11">
      <c r="A131" s="567"/>
      <c r="B131" s="567"/>
      <c r="C131" s="278" t="s">
        <v>509</v>
      </c>
      <c r="D131" s="34" t="str">
        <f t="shared" si="64"/>
        <v>Raw materials</v>
      </c>
      <c r="E131" s="34" t="str">
        <f t="shared" si="65"/>
        <v>Graphite (Natural)</v>
      </c>
      <c r="F131" s="34" t="str">
        <f t="shared" si="66"/>
        <v>Raw materialsGraphite (Natural)Mined supply</v>
      </c>
      <c r="G131" s="34" t="str">
        <f>Sources!E12</f>
        <v>BloombergNEF</v>
      </c>
      <c r="H131" s="34" t="str">
        <f>Sources!F12</f>
        <v>The higher, the better</v>
      </c>
      <c r="I131" s="34" t="str">
        <f>Sources!G12</f>
        <v>BloombergNEF</v>
      </c>
      <c r="J131" s="34" t="str">
        <f>Sources!H12</f>
        <v>The higher, the better</v>
      </c>
      <c r="K131" s="278" t="s">
        <v>510</v>
      </c>
    </row>
    <row r="132" spans="1:11">
      <c r="A132" s="567"/>
      <c r="B132" s="567"/>
      <c r="C132" s="278" t="s">
        <v>510</v>
      </c>
      <c r="D132" s="34" t="str">
        <f t="shared" si="64"/>
        <v>Raw materials</v>
      </c>
      <c r="E132" s="34" t="str">
        <f t="shared" si="65"/>
        <v>Graphite (Natural)</v>
      </c>
      <c r="F132" s="34" t="str">
        <f t="shared" si="66"/>
        <v>Raw materialsGraphite (Natural)Refined supply</v>
      </c>
      <c r="G132" s="34" t="str">
        <f>Sources!E13</f>
        <v>BloombergNEF</v>
      </c>
      <c r="H132" s="34" t="str">
        <f>Sources!F13</f>
        <v>The higher, the better</v>
      </c>
      <c r="I132" s="34" t="str">
        <f>Sources!G13</f>
        <v>N/A</v>
      </c>
      <c r="J132" s="34" t="str">
        <f>Sources!H13</f>
        <v>N/A</v>
      </c>
      <c r="K132" s="278" t="s">
        <v>333</v>
      </c>
    </row>
    <row r="133" spans="1:11">
      <c r="A133" s="567"/>
      <c r="B133" s="567" t="s">
        <v>33</v>
      </c>
      <c r="C133" s="278" t="s">
        <v>333</v>
      </c>
      <c r="D133" s="34" t="str">
        <f t="shared" si="64"/>
        <v>Raw materials</v>
      </c>
      <c r="E133" s="34" t="str">
        <f t="shared" si="65"/>
        <v>Lithium</v>
      </c>
      <c r="F133" s="34" t="str">
        <f t="shared" si="66"/>
        <v>Raw materialsLithiumReserves</v>
      </c>
      <c r="G133" s="34" t="str">
        <f>Sources!E14</f>
        <v>US Geological Survey, BloombergNEF</v>
      </c>
      <c r="H133" s="34" t="str">
        <f>Sources!F14</f>
        <v>The higher, the better</v>
      </c>
      <c r="I133" s="34" t="str">
        <f>Sources!G14</f>
        <v>Company websites, US Geological Survey, BloombergNEF</v>
      </c>
      <c r="J133" s="34" t="str">
        <f>Sources!H14</f>
        <v>The higher, the better</v>
      </c>
      <c r="K133" s="278" t="s">
        <v>509</v>
      </c>
    </row>
    <row r="134" spans="1:11">
      <c r="A134" s="567"/>
      <c r="B134" s="567"/>
      <c r="C134" s="278" t="s">
        <v>509</v>
      </c>
      <c r="D134" s="34" t="str">
        <f t="shared" si="64"/>
        <v>Raw materials</v>
      </c>
      <c r="E134" s="34" t="str">
        <f t="shared" si="65"/>
        <v>Lithium</v>
      </c>
      <c r="F134" s="34" t="str">
        <f t="shared" si="66"/>
        <v>Raw materialsLithiumMined supply</v>
      </c>
      <c r="G134" s="34" t="str">
        <f>Sources!E15</f>
        <v>BloombergNEF</v>
      </c>
      <c r="H134" s="34" t="str">
        <f>Sources!F15</f>
        <v>The higher, the better</v>
      </c>
      <c r="I134" s="34" t="str">
        <f>Sources!G15</f>
        <v>BloombergNEF</v>
      </c>
      <c r="J134" s="34" t="str">
        <f>Sources!H15</f>
        <v>The higher, the better</v>
      </c>
      <c r="K134" s="278" t="s">
        <v>510</v>
      </c>
    </row>
    <row r="135" spans="1:11">
      <c r="A135" s="567"/>
      <c r="B135" s="567"/>
      <c r="C135" s="278" t="s">
        <v>510</v>
      </c>
      <c r="D135" s="34" t="str">
        <f t="shared" si="64"/>
        <v>Raw materials</v>
      </c>
      <c r="E135" s="34" t="str">
        <f t="shared" si="65"/>
        <v>Lithium</v>
      </c>
      <c r="F135" s="34" t="str">
        <f t="shared" si="66"/>
        <v>Raw materialsLithiumRefined supply</v>
      </c>
      <c r="G135" s="34" t="str">
        <f>Sources!E16</f>
        <v>BloombergNEF</v>
      </c>
      <c r="H135" s="34" t="str">
        <f>Sources!F16</f>
        <v>The higher, the better</v>
      </c>
      <c r="I135" s="34" t="str">
        <f>Sources!G16</f>
        <v>BloombergNEF</v>
      </c>
      <c r="J135" s="34" t="str">
        <f>Sources!H16</f>
        <v>The higher, the better</v>
      </c>
      <c r="K135" s="278" t="s">
        <v>333</v>
      </c>
    </row>
    <row r="136" spans="1:11">
      <c r="A136" s="567"/>
      <c r="B136" s="567" t="s">
        <v>37</v>
      </c>
      <c r="C136" s="278" t="s">
        <v>333</v>
      </c>
      <c r="D136" s="34" t="str">
        <f t="shared" si="64"/>
        <v>Raw materials</v>
      </c>
      <c r="E136" s="34" t="str">
        <f t="shared" si="65"/>
        <v>Manganese</v>
      </c>
      <c r="F136" s="34" t="str">
        <f t="shared" si="66"/>
        <v>Raw materialsManganeseReserves</v>
      </c>
      <c r="G136" s="34" t="str">
        <f>Sources!E17</f>
        <v>US Geological Survey, BloombergNEF</v>
      </c>
      <c r="H136" s="34" t="str">
        <f>Sources!F17</f>
        <v>The higher, the better</v>
      </c>
      <c r="I136" s="34" t="str">
        <f>Sources!G17</f>
        <v>Company websites, US Geological Survey, BloombergNEF</v>
      </c>
      <c r="J136" s="34" t="str">
        <f>Sources!H17</f>
        <v>The higher, the better</v>
      </c>
      <c r="K136" s="278" t="s">
        <v>509</v>
      </c>
    </row>
    <row r="137" spans="1:11">
      <c r="A137" s="567"/>
      <c r="B137" s="567"/>
      <c r="C137" s="278" t="s">
        <v>509</v>
      </c>
      <c r="D137" s="34" t="str">
        <f t="shared" si="64"/>
        <v>Raw materials</v>
      </c>
      <c r="E137" s="34" t="str">
        <f t="shared" si="65"/>
        <v>Manganese</v>
      </c>
      <c r="F137" s="34" t="str">
        <f t="shared" si="66"/>
        <v>Raw materialsManganeseMined supply</v>
      </c>
      <c r="G137" s="34" t="str">
        <f>Sources!E18</f>
        <v>BloombergNEF</v>
      </c>
      <c r="H137" s="34" t="str">
        <f>Sources!F18</f>
        <v>The higher, the better</v>
      </c>
      <c r="I137" s="34" t="str">
        <f>Sources!G18</f>
        <v>BloombergNEF</v>
      </c>
      <c r="J137" s="34" t="str">
        <f>Sources!H18</f>
        <v>The higher, the better</v>
      </c>
      <c r="K137" s="278" t="s">
        <v>510</v>
      </c>
    </row>
    <row r="138" spans="1:11">
      <c r="A138" s="567"/>
      <c r="B138" s="567"/>
      <c r="C138" s="278" t="s">
        <v>510</v>
      </c>
      <c r="D138" s="34" t="str">
        <f t="shared" si="64"/>
        <v>Raw materials</v>
      </c>
      <c r="E138" s="34" t="str">
        <f t="shared" si="65"/>
        <v>Manganese</v>
      </c>
      <c r="F138" s="34" t="str">
        <f t="shared" si="66"/>
        <v>Raw materialsManganeseRefined supply</v>
      </c>
      <c r="G138" s="34" t="str">
        <f>Sources!E19</f>
        <v>BloombergNEF</v>
      </c>
      <c r="H138" s="34" t="str">
        <f>Sources!F19</f>
        <v>The higher, the better</v>
      </c>
      <c r="I138" s="34" t="str">
        <f>Sources!G19</f>
        <v>BloombergNEF</v>
      </c>
      <c r="J138" s="34" t="str">
        <f>Sources!H19</f>
        <v>The higher, the better</v>
      </c>
      <c r="K138" s="278" t="s">
        <v>333</v>
      </c>
    </row>
    <row r="139" spans="1:11">
      <c r="A139" s="567"/>
      <c r="B139" s="567" t="s">
        <v>35</v>
      </c>
      <c r="C139" s="278" t="s">
        <v>333</v>
      </c>
      <c r="D139" s="34" t="str">
        <f t="shared" si="64"/>
        <v>Raw materials</v>
      </c>
      <c r="E139" s="34" t="str">
        <f t="shared" si="65"/>
        <v>Nickel</v>
      </c>
      <c r="F139" s="34" t="str">
        <f t="shared" si="66"/>
        <v>Raw materialsNickelReserves</v>
      </c>
      <c r="G139" s="34" t="str">
        <f>Sources!E20</f>
        <v>US Geological Survey, BloombergNEF</v>
      </c>
      <c r="H139" s="34" t="str">
        <f>Sources!F20</f>
        <v>The higher, the better</v>
      </c>
      <c r="I139" s="34" t="str">
        <f>Sources!G20</f>
        <v>Company websites, US Geological Survey, BloombergNEF</v>
      </c>
      <c r="J139" s="34" t="str">
        <f>Sources!H20</f>
        <v>The higher, the better</v>
      </c>
      <c r="K139" s="278" t="s">
        <v>509</v>
      </c>
    </row>
    <row r="140" spans="1:11">
      <c r="A140" s="567"/>
      <c r="B140" s="567"/>
      <c r="C140" s="278" t="s">
        <v>509</v>
      </c>
      <c r="D140" s="34" t="str">
        <f t="shared" si="64"/>
        <v>Raw materials</v>
      </c>
      <c r="E140" s="34" t="str">
        <f t="shared" si="65"/>
        <v>Nickel</v>
      </c>
      <c r="F140" s="34" t="str">
        <f t="shared" si="66"/>
        <v>Raw materialsNickelMined supply</v>
      </c>
      <c r="G140" s="34" t="str">
        <f>Sources!E21</f>
        <v>BloombergNEF</v>
      </c>
      <c r="H140" s="34" t="str">
        <f>Sources!F21</f>
        <v>The higher, the better</v>
      </c>
      <c r="I140" s="34" t="str">
        <f>Sources!G21</f>
        <v>BloombergNEF</v>
      </c>
      <c r="J140" s="34" t="str">
        <f>Sources!H21</f>
        <v>The higher, the better</v>
      </c>
      <c r="K140" s="278" t="s">
        <v>510</v>
      </c>
    </row>
    <row r="141" spans="1:11">
      <c r="A141" s="568"/>
      <c r="B141" s="568"/>
      <c r="C141" s="548" t="s">
        <v>510</v>
      </c>
      <c r="D141" s="34" t="str">
        <f t="shared" si="64"/>
        <v>Raw materials</v>
      </c>
      <c r="E141" s="34" t="str">
        <f t="shared" si="65"/>
        <v>Nickel</v>
      </c>
      <c r="F141" s="34" t="str">
        <f t="shared" si="66"/>
        <v>Raw materialsNickelRefined supply</v>
      </c>
      <c r="G141" s="34" t="str">
        <f>Sources!E22</f>
        <v>BloombergNEF</v>
      </c>
      <c r="H141" s="34" t="str">
        <f>Sources!F22</f>
        <v>The higher, the better</v>
      </c>
      <c r="I141" s="34" t="str">
        <f>Sources!G22</f>
        <v>BloombergNEF</v>
      </c>
      <c r="J141" s="34" t="str">
        <f>Sources!H22</f>
        <v>The higher, the better</v>
      </c>
      <c r="K141" s="548" t="s">
        <v>512</v>
      </c>
    </row>
    <row r="142" spans="1:11">
      <c r="A142" s="566" t="s">
        <v>445</v>
      </c>
      <c r="B142" s="555" t="s">
        <v>357</v>
      </c>
      <c r="C142" s="542" t="s">
        <v>4</v>
      </c>
      <c r="D142" s="34" t="str">
        <f t="shared" si="64"/>
        <v>Battery manufacturing</v>
      </c>
      <c r="E142" s="34" t="str">
        <f t="shared" si="65"/>
        <v>Anode materials</v>
      </c>
      <c r="F142" s="34" t="str">
        <f t="shared" si="66"/>
        <v>Battery manufacturingAnode materialsTotal</v>
      </c>
      <c r="G142" s="34" t="str">
        <f>Sources!E23</f>
        <v>BloombergNEF</v>
      </c>
      <c r="H142" s="34" t="str">
        <f>Sources!F23</f>
        <v>The higher, the better</v>
      </c>
      <c r="I142" s="34" t="str">
        <f>Sources!G23</f>
        <v>BloombergNEF</v>
      </c>
      <c r="J142" s="34" t="str">
        <f>Sources!H23</f>
        <v>The higher, the better</v>
      </c>
      <c r="K142" s="542" t="s">
        <v>513</v>
      </c>
    </row>
    <row r="143" spans="1:11">
      <c r="A143" s="567"/>
      <c r="B143" s="556" t="s">
        <v>447</v>
      </c>
      <c r="C143" s="542" t="s">
        <v>4</v>
      </c>
      <c r="D143" s="34" t="str">
        <f t="shared" si="64"/>
        <v>Battery manufacturing</v>
      </c>
      <c r="E143" s="34" t="str">
        <f t="shared" si="65"/>
        <v>Cathode materials</v>
      </c>
      <c r="F143" s="34" t="str">
        <f t="shared" si="66"/>
        <v>Battery manufacturingCathode materialsTotal</v>
      </c>
      <c r="G143" s="34" t="str">
        <f>Sources!E24</f>
        <v>BloombergNEF</v>
      </c>
      <c r="H143" s="34" t="str">
        <f>Sources!F24</f>
        <v>The higher, the better</v>
      </c>
      <c r="I143" s="34" t="str">
        <f>Sources!G24</f>
        <v>BloombergNEF</v>
      </c>
      <c r="J143" s="34" t="str">
        <f>Sources!H24</f>
        <v>The higher, the better</v>
      </c>
      <c r="K143" s="542" t="s">
        <v>64</v>
      </c>
    </row>
    <row r="144" spans="1:11">
      <c r="A144" s="567"/>
      <c r="B144" s="556" t="s">
        <v>500</v>
      </c>
      <c r="C144" s="542" t="s">
        <v>4</v>
      </c>
      <c r="D144" s="34" t="str">
        <f t="shared" si="64"/>
        <v>Battery manufacturing</v>
      </c>
      <c r="E144" s="34" t="str">
        <f t="shared" si="65"/>
        <v>Cell</v>
      </c>
      <c r="F144" s="34" t="str">
        <f t="shared" si="66"/>
        <v>Battery manufacturingCellTotal</v>
      </c>
      <c r="G144" s="34" t="str">
        <f>Sources!E25</f>
        <v>BloombergNEF</v>
      </c>
      <c r="H144" s="34" t="str">
        <f>Sources!F25</f>
        <v>The higher, the better</v>
      </c>
      <c r="I144" s="34" t="str">
        <f>Sources!G25</f>
        <v>BloombergNEF</v>
      </c>
      <c r="J144" s="34" t="str">
        <f>Sources!H25</f>
        <v>The higher, the better</v>
      </c>
      <c r="K144" s="542" t="s">
        <v>514</v>
      </c>
    </row>
    <row r="145" spans="1:11">
      <c r="A145" s="567"/>
      <c r="B145" s="556" t="s">
        <v>360</v>
      </c>
      <c r="C145" s="542" t="s">
        <v>4</v>
      </c>
      <c r="D145" s="34" t="str">
        <f t="shared" si="64"/>
        <v>Battery manufacturing</v>
      </c>
      <c r="E145" s="34" t="str">
        <f t="shared" si="65"/>
        <v>Disassembly and recycling</v>
      </c>
      <c r="F145" s="34" t="str">
        <f t="shared" si="66"/>
        <v>Battery manufacturingDisassembly and recyclingTotal</v>
      </c>
      <c r="G145" s="34" t="str">
        <f>Sources!E26</f>
        <v>BloombergNEF</v>
      </c>
      <c r="H145" s="34" t="str">
        <f>Sources!F26</f>
        <v>The higher, the better</v>
      </c>
      <c r="I145" s="34" t="str">
        <f>Sources!G26</f>
        <v>BloombergNEF</v>
      </c>
      <c r="J145" s="34" t="str">
        <f>Sources!H26</f>
        <v>The higher, the better</v>
      </c>
      <c r="K145" s="542" t="s">
        <v>515</v>
      </c>
    </row>
    <row r="146" spans="1:11">
      <c r="A146" s="567"/>
      <c r="B146" s="556" t="s">
        <v>60</v>
      </c>
      <c r="C146" s="542" t="s">
        <v>4</v>
      </c>
      <c r="D146" s="34" t="str">
        <f t="shared" si="64"/>
        <v>Battery manufacturing</v>
      </c>
      <c r="E146" s="34" t="str">
        <f t="shared" si="65"/>
        <v>Electrolyte</v>
      </c>
      <c r="F146" s="34" t="str">
        <f t="shared" si="66"/>
        <v>Battery manufacturingElectrolyteTotal</v>
      </c>
      <c r="G146" s="34" t="str">
        <f>Sources!E27</f>
        <v>BloombergNEF</v>
      </c>
      <c r="H146" s="34" t="str">
        <f>Sources!F27</f>
        <v>The higher, the better</v>
      </c>
      <c r="I146" s="34" t="str">
        <f>Sources!G27</f>
        <v>BloombergNEF</v>
      </c>
      <c r="J146" s="34" t="str">
        <f>Sources!H27</f>
        <v>The higher, the better</v>
      </c>
      <c r="K146" s="542" t="s">
        <v>516</v>
      </c>
    </row>
    <row r="147" spans="1:11">
      <c r="A147" s="567"/>
      <c r="B147" s="556" t="s">
        <v>448</v>
      </c>
      <c r="C147" s="542" t="s">
        <v>4</v>
      </c>
      <c r="D147" s="34" t="str">
        <f t="shared" si="64"/>
        <v>Battery manufacturing</v>
      </c>
      <c r="E147" s="34" t="str">
        <f t="shared" si="65"/>
        <v>Electrolyte salts</v>
      </c>
      <c r="F147" s="34" t="str">
        <f t="shared" si="66"/>
        <v>Battery manufacturingElectrolyte saltsTotal</v>
      </c>
      <c r="G147" s="34" t="str">
        <f>Sources!E28</f>
        <v>BloombergNEF</v>
      </c>
      <c r="H147" s="34" t="str">
        <f>Sources!F28</f>
        <v>The higher, the better</v>
      </c>
      <c r="I147" s="34" t="str">
        <f>Sources!G28</f>
        <v>BloombergNEF</v>
      </c>
      <c r="J147" s="34" t="str">
        <f>Sources!H28</f>
        <v>The higher, the better</v>
      </c>
      <c r="K147" s="542" t="s">
        <v>517</v>
      </c>
    </row>
    <row r="148" spans="1:11">
      <c r="A148" s="568"/>
      <c r="B148" s="557" t="s">
        <v>63</v>
      </c>
      <c r="C148" s="542" t="s">
        <v>4</v>
      </c>
      <c r="D148" s="34" t="str">
        <f t="shared" si="64"/>
        <v>Battery manufacturing</v>
      </c>
      <c r="E148" s="34" t="str">
        <f t="shared" si="65"/>
        <v>Seperator</v>
      </c>
      <c r="F148" s="34" t="str">
        <f t="shared" si="66"/>
        <v>Battery manufacturingSeperatorTotal</v>
      </c>
      <c r="G148" s="34" t="str">
        <f>Sources!E29</f>
        <v>BloombergNEF</v>
      </c>
      <c r="H148" s="34" t="str">
        <f>Sources!F29</f>
        <v>The higher, the better</v>
      </c>
      <c r="I148" s="34" t="str">
        <f>Sources!G29</f>
        <v>BloombergNEF</v>
      </c>
      <c r="J148" s="34" t="str">
        <f>Sources!H29</f>
        <v>The higher, the better</v>
      </c>
      <c r="K148" s="542" t="s">
        <v>518</v>
      </c>
    </row>
    <row r="149" spans="1:11">
      <c r="A149" s="566" t="s">
        <v>449</v>
      </c>
      <c r="B149" s="34" t="s">
        <v>49</v>
      </c>
      <c r="C149" s="542" t="s">
        <v>4</v>
      </c>
      <c r="D149" s="34" t="str">
        <f t="shared" si="64"/>
        <v>Downstream demand</v>
      </c>
      <c r="E149" s="34" t="str">
        <f t="shared" si="65"/>
        <v>Passenger EV</v>
      </c>
      <c r="F149" s="34" t="str">
        <f t="shared" si="66"/>
        <v>Downstream demandPassenger EVTotal</v>
      </c>
      <c r="G149" s="34" t="str">
        <f>Sources!E30</f>
        <v>BloombergNEF</v>
      </c>
      <c r="H149" s="34" t="str">
        <f>Sources!F30</f>
        <v>The higher, the better</v>
      </c>
      <c r="I149" s="34" t="str">
        <f>Sources!G30</f>
        <v>BloombergNEF</v>
      </c>
      <c r="J149" s="34" t="str">
        <f>Sources!H30</f>
        <v>The higher, the better</v>
      </c>
      <c r="K149" s="542" t="s">
        <v>400</v>
      </c>
    </row>
    <row r="150" spans="1:11">
      <c r="A150" s="567"/>
      <c r="B150" s="34" t="s">
        <v>51</v>
      </c>
      <c r="C150" s="542" t="s">
        <v>4</v>
      </c>
      <c r="D150" s="34" t="str">
        <f t="shared" si="64"/>
        <v>Downstream demand</v>
      </c>
      <c r="E150" s="34" t="str">
        <f t="shared" si="65"/>
        <v>Commercial EV</v>
      </c>
      <c r="F150" s="34" t="str">
        <f t="shared" si="66"/>
        <v>Downstream demandCommercial EVTotal</v>
      </c>
      <c r="G150" s="34" t="str">
        <f>Sources!E31</f>
        <v>BloombergNEF</v>
      </c>
      <c r="H150" s="34" t="str">
        <f>Sources!F31</f>
        <v>The higher, the better</v>
      </c>
      <c r="I150" s="34" t="str">
        <f>Sources!G31</f>
        <v>BloombergNEF</v>
      </c>
      <c r="J150" s="34" t="str">
        <f>Sources!H31</f>
        <v>The higher, the better</v>
      </c>
      <c r="K150" s="542" t="s">
        <v>401</v>
      </c>
    </row>
    <row r="151" spans="1:11">
      <c r="A151" s="567"/>
      <c r="B151" s="34" t="s">
        <v>53</v>
      </c>
      <c r="C151" s="542" t="s">
        <v>4</v>
      </c>
      <c r="D151" s="34" t="str">
        <f t="shared" si="64"/>
        <v>Downstream demand</v>
      </c>
      <c r="E151" s="34" t="str">
        <f t="shared" si="65"/>
        <v>E-bus</v>
      </c>
      <c r="F151" s="34" t="str">
        <f t="shared" si="66"/>
        <v>Downstream demandE-busTotal</v>
      </c>
      <c r="G151" s="34" t="str">
        <f>Sources!E32</f>
        <v>BloombergNEF</v>
      </c>
      <c r="H151" s="34" t="str">
        <f>Sources!F32</f>
        <v>The higher, the better</v>
      </c>
      <c r="I151" s="34" t="str">
        <f>Sources!G32</f>
        <v>BloombergNEF</v>
      </c>
      <c r="J151" s="34" t="str">
        <f>Sources!H32</f>
        <v>The higher, the better</v>
      </c>
      <c r="K151" s="542" t="s">
        <v>519</v>
      </c>
    </row>
    <row r="152" spans="1:11">
      <c r="A152" s="567"/>
      <c r="B152" s="34" t="s">
        <v>54</v>
      </c>
      <c r="C152" s="542" t="s">
        <v>4</v>
      </c>
      <c r="D152" s="34" t="str">
        <f t="shared" si="64"/>
        <v>Downstream demand</v>
      </c>
      <c r="E152" s="34" t="str">
        <f t="shared" si="65"/>
        <v>2 &amp; 3 Wheelers</v>
      </c>
      <c r="F152" s="34" t="str">
        <f t="shared" si="66"/>
        <v>Downstream demand2 &amp; 3 WheelersTotal</v>
      </c>
      <c r="G152" s="34" t="str">
        <f>Sources!E33</f>
        <v>BloombergNEF</v>
      </c>
      <c r="H152" s="34" t="str">
        <f>Sources!F33</f>
        <v>The higher, the better</v>
      </c>
      <c r="I152" s="34" t="str">
        <f>Sources!G33</f>
        <v>BloombergNEF</v>
      </c>
      <c r="J152" s="34" t="str">
        <f>Sources!H33</f>
        <v>The higher, the better</v>
      </c>
      <c r="K152" s="542" t="s">
        <v>520</v>
      </c>
    </row>
    <row r="153" spans="1:11">
      <c r="A153" s="567"/>
      <c r="B153" s="34" t="s">
        <v>52</v>
      </c>
      <c r="C153" s="542" t="s">
        <v>4</v>
      </c>
      <c r="D153" s="34" t="str">
        <f t="shared" si="64"/>
        <v>Downstream demand</v>
      </c>
      <c r="E153" s="34" t="str">
        <f t="shared" si="65"/>
        <v>Stationary Storage</v>
      </c>
      <c r="F153" s="34" t="str">
        <f t="shared" si="66"/>
        <v>Downstream demandStationary StorageTotal</v>
      </c>
      <c r="G153" s="34" t="str">
        <f>Sources!E34</f>
        <v>BloombergNEF</v>
      </c>
      <c r="H153" s="34" t="str">
        <f>Sources!F34</f>
        <v>The higher, the better</v>
      </c>
      <c r="I153" s="34" t="str">
        <f>Sources!G34</f>
        <v>BloombergNEF</v>
      </c>
      <c r="J153" s="34" t="str">
        <f>Sources!H34</f>
        <v>The higher, the better</v>
      </c>
      <c r="K153" s="542" t="s">
        <v>168</v>
      </c>
    </row>
    <row r="154" spans="1:11">
      <c r="A154" s="568"/>
      <c r="B154" s="557" t="s">
        <v>168</v>
      </c>
      <c r="C154" s="548" t="s">
        <v>4</v>
      </c>
      <c r="D154" s="34" t="str">
        <f t="shared" si="64"/>
        <v>Downstream demand</v>
      </c>
      <c r="E154" s="34" t="str">
        <f t="shared" si="65"/>
        <v>Regional demand</v>
      </c>
      <c r="F154" s="34" t="str">
        <f t="shared" si="66"/>
        <v>Downstream demandRegional demandTotal</v>
      </c>
      <c r="G154" s="34" t="str">
        <f>Sources!E35</f>
        <v>BloombergNEF</v>
      </c>
      <c r="H154" s="34" t="str">
        <f>Sources!F35</f>
        <v>The higher, the better</v>
      </c>
      <c r="I154" s="34" t="str">
        <f>Sources!G35</f>
        <v>BloombergNEF</v>
      </c>
      <c r="J154" s="34" t="str">
        <f>Sources!H35</f>
        <v>The higher, the better</v>
      </c>
      <c r="K154" s="548" t="s">
        <v>522</v>
      </c>
    </row>
    <row r="155" spans="1:11">
      <c r="A155" s="566" t="s">
        <v>406</v>
      </c>
      <c r="B155" s="566" t="s">
        <v>408</v>
      </c>
      <c r="C155" s="34" t="s">
        <v>413</v>
      </c>
      <c r="D155" s="34" t="str">
        <f t="shared" si="64"/>
        <v>ESG</v>
      </c>
      <c r="E155" s="34" t="str">
        <f t="shared" si="65"/>
        <v>Environmental</v>
      </c>
      <c r="F155" s="34" t="str">
        <f t="shared" si="66"/>
        <v>ESGEnvironmentalCarbon Prices</v>
      </c>
      <c r="G155" s="34" t="str">
        <f>Sources!E36</f>
        <v>World Bank, BloombergNEF</v>
      </c>
      <c r="H155" s="34" t="str">
        <f>Sources!F36</f>
        <v>The higher, the better</v>
      </c>
      <c r="I155" s="34" t="str">
        <f>Sources!G36</f>
        <v>International Carbon Action Partnership (ICAP), World Bank, BloombergNEF</v>
      </c>
      <c r="J155" s="34" t="str">
        <f>Sources!H36</f>
        <v>The higher, the better</v>
      </c>
      <c r="K155" s="34" t="s">
        <v>523</v>
      </c>
    </row>
    <row r="156" spans="1:11">
      <c r="A156" s="567"/>
      <c r="B156" s="567"/>
      <c r="C156" s="34" t="s">
        <v>416</v>
      </c>
      <c r="D156" s="34" t="str">
        <f t="shared" si="64"/>
        <v>ESG</v>
      </c>
      <c r="E156" s="34" t="str">
        <f t="shared" si="65"/>
        <v>Environmental</v>
      </c>
      <c r="F156" s="34" t="str">
        <f t="shared" si="66"/>
        <v>ESGEnvironmentalCountry Risk</v>
      </c>
      <c r="G156" s="34" t="str">
        <f>Sources!E37</f>
        <v>Institute for International Law of Peace and Armed Conflict, Bundnis Entwicklung Hilft</v>
      </c>
      <c r="H156" s="34" t="str">
        <f>Sources!F37</f>
        <v>The lower, the better</v>
      </c>
      <c r="I156" s="34" t="str">
        <f>Sources!G37</f>
        <v>Institute for International Law of Peace and Armed Conflict, Bundnis Entwicklung Hilft</v>
      </c>
      <c r="J156" s="34" t="str">
        <f>Sources!H37</f>
        <v>The lower, the better</v>
      </c>
      <c r="K156" s="34" t="s">
        <v>524</v>
      </c>
    </row>
    <row r="157" spans="1:11">
      <c r="A157" s="567"/>
      <c r="B157" s="567"/>
      <c r="C157" s="34" t="s">
        <v>412</v>
      </c>
      <c r="D157" s="34" t="str">
        <f t="shared" si="64"/>
        <v>ESG</v>
      </c>
      <c r="E157" s="34" t="str">
        <f t="shared" si="65"/>
        <v>Environmental</v>
      </c>
      <c r="F157" s="34" t="str">
        <f t="shared" si="66"/>
        <v>ESGEnvironmentalGrid Carbon Intensity</v>
      </c>
      <c r="G157" s="34" t="str">
        <f>Sources!E38</f>
        <v>BloombergNEF</v>
      </c>
      <c r="H157" s="34" t="str">
        <f>Sources!F38</f>
        <v>The lower, the better</v>
      </c>
      <c r="I157" s="34" t="str">
        <f>Sources!G38</f>
        <v>BloombergNEF</v>
      </c>
      <c r="J157" s="34" t="str">
        <f>Sources!H38</f>
        <v>The lower, the better</v>
      </c>
      <c r="K157" s="34" t="s">
        <v>525</v>
      </c>
    </row>
    <row r="158" spans="1:11">
      <c r="A158" s="567"/>
      <c r="B158" s="567"/>
      <c r="C158" s="34" t="s">
        <v>415</v>
      </c>
      <c r="D158" s="34" t="str">
        <f t="shared" si="64"/>
        <v>ESG</v>
      </c>
      <c r="E158" s="34" t="str">
        <f t="shared" si="65"/>
        <v>Environmental</v>
      </c>
      <c r="F158" s="34" t="str">
        <f t="shared" si="66"/>
        <v>ESGEnvironmentalEcosystem Vitality</v>
      </c>
      <c r="G158" s="34" t="str">
        <f>Sources!E39</f>
        <v>Yale University</v>
      </c>
      <c r="H158" s="34" t="str">
        <f>Sources!F39</f>
        <v>The higher, the better</v>
      </c>
      <c r="I158" s="34" t="str">
        <f>Sources!G39</f>
        <v>Yale University</v>
      </c>
      <c r="J158" s="34" t="str">
        <f>Sources!H39</f>
        <v>The higher, the better</v>
      </c>
      <c r="K158" s="34" t="s">
        <v>267</v>
      </c>
    </row>
    <row r="159" spans="1:11">
      <c r="A159" s="567"/>
      <c r="B159" s="567"/>
      <c r="C159" s="34" t="s">
        <v>414</v>
      </c>
      <c r="D159" s="34" t="str">
        <f t="shared" si="64"/>
        <v>ESG</v>
      </c>
      <c r="E159" s="34" t="str">
        <f t="shared" si="65"/>
        <v>Environmental</v>
      </c>
      <c r="F159" s="34" t="str">
        <f t="shared" si="66"/>
        <v>ESGEnvironmentalEnvironmental Health</v>
      </c>
      <c r="G159" s="34" t="str">
        <f>Sources!E40</f>
        <v>Yale University</v>
      </c>
      <c r="H159" s="34" t="str">
        <f>Sources!F40</f>
        <v>The higher, the better</v>
      </c>
      <c r="I159" s="34" t="str">
        <f>Sources!G40</f>
        <v>Yale University</v>
      </c>
      <c r="J159" s="34" t="str">
        <f>Sources!H40</f>
        <v>The higher, the better</v>
      </c>
      <c r="K159" s="34" t="s">
        <v>526</v>
      </c>
    </row>
    <row r="160" spans="1:11">
      <c r="A160" s="567"/>
      <c r="B160" s="567"/>
      <c r="C160" s="34" t="s">
        <v>411</v>
      </c>
      <c r="D160" s="34" t="str">
        <f t="shared" si="64"/>
        <v>ESG</v>
      </c>
      <c r="E160" s="34" t="str">
        <f t="shared" si="65"/>
        <v>Environmental</v>
      </c>
      <c r="F160" s="34" t="str">
        <f t="shared" si="66"/>
        <v>ESGEnvironmentalRenewable Energy Policy</v>
      </c>
      <c r="G160" s="34" t="str">
        <f>Sources!E41</f>
        <v>BloombergNEF</v>
      </c>
      <c r="H160" s="34" t="str">
        <f>Sources!F41</f>
        <v>The higher, the better</v>
      </c>
      <c r="I160" s="34" t="str">
        <f>Sources!G41</f>
        <v>BloombergNEF</v>
      </c>
      <c r="J160" s="34" t="str">
        <f>Sources!H41</f>
        <v>The higher, the better</v>
      </c>
      <c r="K160" s="34" t="s">
        <v>527</v>
      </c>
    </row>
    <row r="161" spans="1:11">
      <c r="A161" s="567"/>
      <c r="B161" s="567" t="s">
        <v>409</v>
      </c>
      <c r="C161" s="278" t="s">
        <v>527</v>
      </c>
      <c r="D161" s="34" t="str">
        <f t="shared" si="64"/>
        <v>ESG</v>
      </c>
      <c r="E161" s="34" t="str">
        <f t="shared" si="65"/>
        <v>Social</v>
      </c>
      <c r="F161" s="34" t="str">
        <f t="shared" si="66"/>
        <v>ESGSocialFundamental labor rights</v>
      </c>
      <c r="G161" s="34" t="str">
        <f>Sources!E42</f>
        <v>World Justice Project</v>
      </c>
      <c r="H161" s="34" t="str">
        <f>Sources!F42</f>
        <v>The higher, the better</v>
      </c>
      <c r="I161" s="34" t="str">
        <f>Sources!G42</f>
        <v>World Justice Project</v>
      </c>
      <c r="J161" s="34" t="str">
        <f>Sources!H42</f>
        <v>The higher, the better</v>
      </c>
      <c r="K161" s="278" t="s">
        <v>528</v>
      </c>
    </row>
    <row r="162" spans="1:11">
      <c r="A162" s="567"/>
      <c r="B162" s="567"/>
      <c r="C162" s="278" t="s">
        <v>596</v>
      </c>
      <c r="D162" s="34" t="str">
        <f t="shared" si="64"/>
        <v>ESG</v>
      </c>
      <c r="E162" s="34" t="str">
        <f t="shared" si="65"/>
        <v>Social</v>
      </c>
      <c r="F162" s="34" t="str">
        <f t="shared" si="66"/>
        <v>ESGSocialGender equality</v>
      </c>
      <c r="G162" s="34" t="str">
        <f>Sources!E43</f>
        <v>United Nations</v>
      </c>
      <c r="H162" s="34" t="str">
        <f>Sources!F43</f>
        <v>The lower, the better</v>
      </c>
      <c r="I162" s="34" t="str">
        <f>Sources!G43</f>
        <v>United Nations</v>
      </c>
      <c r="J162" s="34" t="str">
        <f>Sources!H43</f>
        <v>The higher, the better</v>
      </c>
      <c r="K162" s="278" t="s">
        <v>529</v>
      </c>
    </row>
    <row r="163" spans="1:11">
      <c r="A163" s="567"/>
      <c r="B163" s="567" t="s">
        <v>410</v>
      </c>
      <c r="C163" s="278" t="s">
        <v>529</v>
      </c>
      <c r="D163" s="34" t="str">
        <f t="shared" si="64"/>
        <v>ESG</v>
      </c>
      <c r="E163" s="34" t="str">
        <f t="shared" si="65"/>
        <v>Governance</v>
      </c>
      <c r="F163" s="34" t="str">
        <f t="shared" si="66"/>
        <v>ESGGovernanceControl of corruption</v>
      </c>
      <c r="G163" s="34" t="str">
        <f>Sources!E44</f>
        <v>Worldwide Governance Indicators</v>
      </c>
      <c r="H163" s="34" t="str">
        <f>Sources!F44</f>
        <v>The higher, the better</v>
      </c>
      <c r="I163" s="34" t="str">
        <f>Sources!G44</f>
        <v>Worldwide Governance Indicators</v>
      </c>
      <c r="J163" s="34" t="str">
        <f>Sources!H44</f>
        <v>The higher, the better</v>
      </c>
      <c r="K163" s="278" t="s">
        <v>530</v>
      </c>
    </row>
    <row r="164" spans="1:11">
      <c r="A164" s="568"/>
      <c r="B164" s="568"/>
      <c r="C164" s="548" t="s">
        <v>530</v>
      </c>
      <c r="D164" s="34" t="str">
        <f t="shared" si="64"/>
        <v>ESG</v>
      </c>
      <c r="E164" s="34" t="str">
        <f t="shared" si="65"/>
        <v>Governance</v>
      </c>
      <c r="F164" s="34" t="str">
        <f t="shared" si="66"/>
        <v>ESGGovernanceGovernment effectiveness</v>
      </c>
      <c r="G164" s="34" t="str">
        <f>Sources!E45</f>
        <v>Worldwide Governance Indicators</v>
      </c>
      <c r="H164" s="34" t="str">
        <f>Sources!F45</f>
        <v>The higher, the better</v>
      </c>
      <c r="I164" s="34" t="str">
        <f>Sources!G45</f>
        <v>Worldwide Governance Indicators</v>
      </c>
      <c r="J164" s="34" t="str">
        <f>Sources!H45</f>
        <v>The higher, the better</v>
      </c>
      <c r="K164" s="548" t="s">
        <v>531</v>
      </c>
    </row>
    <row r="165" spans="1:11">
      <c r="A165" s="566" t="s">
        <v>325</v>
      </c>
      <c r="B165" s="566" t="s">
        <v>424</v>
      </c>
      <c r="C165" s="542" t="s">
        <v>531</v>
      </c>
      <c r="D165" s="34" t="str">
        <f t="shared" si="64"/>
        <v>III</v>
      </c>
      <c r="E165" s="34" t="str">
        <f t="shared" si="65"/>
        <v>Industry</v>
      </c>
      <c r="F165" s="34" t="str">
        <f t="shared" si="66"/>
        <v>IIIIndustryInvestment attractiveness</v>
      </c>
      <c r="G165" s="34" t="str">
        <f>Sources!E46</f>
        <v>Fraser Institute</v>
      </c>
      <c r="H165" s="34" t="str">
        <f>Sources!F46</f>
        <v>The higher, the better</v>
      </c>
      <c r="I165" s="34" t="str">
        <f>Sources!G46</f>
        <v>Fraser Institute</v>
      </c>
      <c r="J165" s="34" t="str">
        <f>Sources!H46</f>
        <v>The higher, the better</v>
      </c>
      <c r="K165" s="542" t="s">
        <v>484</v>
      </c>
    </row>
    <row r="166" spans="1:11">
      <c r="A166" s="567"/>
      <c r="B166" s="567"/>
      <c r="C166" s="278" t="s">
        <v>484</v>
      </c>
      <c r="D166" s="34" t="str">
        <f t="shared" si="64"/>
        <v>III</v>
      </c>
      <c r="E166" s="34" t="str">
        <f t="shared" si="65"/>
        <v>Industry</v>
      </c>
      <c r="F166" s="34" t="str">
        <f t="shared" si="66"/>
        <v>IIIIndustryOpenness to trade</v>
      </c>
      <c r="G166" s="34" t="str">
        <f>Sources!E47</f>
        <v>The Heritage Foundation</v>
      </c>
      <c r="H166" s="34" t="str">
        <f>Sources!F47</f>
        <v>The higher, the better</v>
      </c>
      <c r="I166" s="34" t="str">
        <f>Sources!G47</f>
        <v>The Heritage Foundation</v>
      </c>
      <c r="J166" s="34" t="str">
        <f>Sources!H47</f>
        <v>The higher, the better</v>
      </c>
      <c r="K166" s="278" t="s">
        <v>485</v>
      </c>
    </row>
    <row r="167" spans="1:11">
      <c r="A167" s="567"/>
      <c r="B167" s="567"/>
      <c r="C167" s="278" t="s">
        <v>485</v>
      </c>
      <c r="D167" s="34" t="str">
        <f t="shared" si="64"/>
        <v>III</v>
      </c>
      <c r="E167" s="34" t="str">
        <f t="shared" si="65"/>
        <v>Industry</v>
      </c>
      <c r="F167" s="34" t="str">
        <f t="shared" si="66"/>
        <v>IIIIndustryOpenness to foreign direct investment</v>
      </c>
      <c r="G167" s="34" t="str">
        <f>Sources!E48</f>
        <v>OECD</v>
      </c>
      <c r="H167" s="34" t="str">
        <f>Sources!F48</f>
        <v>The lower, the better</v>
      </c>
      <c r="I167" s="34" t="str">
        <f>Sources!G48</f>
        <v>United Nations Conference on Trade and Development.</v>
      </c>
      <c r="J167" s="34" t="str">
        <f>Sources!H48</f>
        <v>The higher, the better</v>
      </c>
      <c r="K167" s="278" t="s">
        <v>532</v>
      </c>
    </row>
    <row r="168" spans="1:11">
      <c r="A168" s="567"/>
      <c r="B168" s="567"/>
      <c r="C168" s="278" t="s">
        <v>532</v>
      </c>
      <c r="D168" s="34" t="str">
        <f t="shared" si="64"/>
        <v>III</v>
      </c>
      <c r="E168" s="34" t="str">
        <f t="shared" si="65"/>
        <v>Industry</v>
      </c>
      <c r="F168" s="34" t="str">
        <f t="shared" si="66"/>
        <v>IIIIndustrySector policy</v>
      </c>
      <c r="G168" s="34" t="str">
        <f>Sources!E49</f>
        <v>N/A</v>
      </c>
      <c r="H168" s="34" t="str">
        <f>Sources!F49</f>
        <v>N/A</v>
      </c>
      <c r="I168" s="34" t="str">
        <f>Sources!G49</f>
        <v>BloombergNEF</v>
      </c>
      <c r="J168" s="34" t="str">
        <f>Sources!H49</f>
        <v>The higher, the better</v>
      </c>
      <c r="K168" s="278" t="s">
        <v>533</v>
      </c>
    </row>
    <row r="169" spans="1:11">
      <c r="A169" s="567"/>
      <c r="B169" s="567" t="s">
        <v>121</v>
      </c>
      <c r="C169" s="21" t="s">
        <v>597</v>
      </c>
      <c r="D169" s="34" t="str">
        <f t="shared" si="64"/>
        <v>III</v>
      </c>
      <c r="E169" s="34" t="str">
        <f t="shared" si="65"/>
        <v>Infrastructure</v>
      </c>
      <c r="F169" s="34" t="str">
        <f t="shared" si="66"/>
        <v>IIIInfrastructureCommercial electricity Cost</v>
      </c>
      <c r="G169" s="34" t="str">
        <f>Sources!E50</f>
        <v>BloombergNEF</v>
      </c>
      <c r="H169" s="34" t="str">
        <f>Sources!F50</f>
        <v>The lower, the better</v>
      </c>
      <c r="I169" s="34" t="str">
        <f>Sources!G50</f>
        <v>BloombergNEF</v>
      </c>
      <c r="J169" s="34" t="str">
        <f>Sources!H50</f>
        <v>The lower, the better</v>
      </c>
      <c r="K169" s="21" t="s">
        <v>121</v>
      </c>
    </row>
    <row r="170" spans="1:11">
      <c r="A170" s="567"/>
      <c r="B170" s="567"/>
      <c r="C170" s="34" t="s">
        <v>121</v>
      </c>
      <c r="D170" s="34" t="str">
        <f t="shared" si="64"/>
        <v>III</v>
      </c>
      <c r="E170" s="34" t="str">
        <f t="shared" si="65"/>
        <v>Infrastructure</v>
      </c>
      <c r="F170" s="34" t="str">
        <f t="shared" si="66"/>
        <v>IIIInfrastructureInfrastructure</v>
      </c>
      <c r="G170" s="34" t="str">
        <f>Sources!E51</f>
        <v>World Intellectual Property Organization</v>
      </c>
      <c r="H170" s="34" t="str">
        <f>Sources!F51</f>
        <v>The higher, the better</v>
      </c>
      <c r="I170" s="34" t="str">
        <f>Sources!G51</f>
        <v>World Intellectual Property Organization</v>
      </c>
      <c r="J170" s="34" t="str">
        <f>Sources!H51</f>
        <v>The higher, the better</v>
      </c>
      <c r="K170" s="34" t="s">
        <v>534</v>
      </c>
    </row>
    <row r="171" spans="1:11">
      <c r="A171" s="567"/>
      <c r="B171" s="567" t="s">
        <v>117</v>
      </c>
      <c r="C171" s="34" t="s">
        <v>430</v>
      </c>
      <c r="D171" s="34" t="str">
        <f t="shared" si="64"/>
        <v>III</v>
      </c>
      <c r="E171" s="34" t="str">
        <f t="shared" si="65"/>
        <v>Innovation</v>
      </c>
      <c r="F171" s="34" t="str">
        <f t="shared" si="66"/>
        <v>IIIInnovationR&amp;D</v>
      </c>
      <c r="G171" s="34" t="str">
        <f>Sources!E52</f>
        <v>World Intellectual Property Organization</v>
      </c>
      <c r="H171" s="34" t="str">
        <f>Sources!F52</f>
        <v>The higher, the better</v>
      </c>
      <c r="I171" s="34" t="str">
        <f>Sources!G52</f>
        <v>World Intellectual Property Organization</v>
      </c>
      <c r="J171" s="34" t="str">
        <f>Sources!H52</f>
        <v>The higher, the better</v>
      </c>
      <c r="K171" s="34" t="s">
        <v>535</v>
      </c>
    </row>
    <row r="172" spans="1:11">
      <c r="A172" s="567"/>
      <c r="B172" s="567"/>
      <c r="C172" s="34" t="s">
        <v>431</v>
      </c>
      <c r="D172" s="34" t="str">
        <f t="shared" si="64"/>
        <v>III</v>
      </c>
      <c r="E172" s="34" t="str">
        <f t="shared" si="65"/>
        <v>Innovation</v>
      </c>
      <c r="F172" s="34" t="str">
        <f t="shared" si="66"/>
        <v>IIIInnovationKnowledge Creation</v>
      </c>
      <c r="G172" s="34" t="str">
        <f>Sources!E53</f>
        <v>World Intellectual Property Organization</v>
      </c>
      <c r="H172" s="34" t="str">
        <f>Sources!F53</f>
        <v>The higher, the better</v>
      </c>
      <c r="I172" s="34" t="str">
        <f>Sources!G53</f>
        <v>World Intellectual Property Organization</v>
      </c>
      <c r="J172" s="34" t="str">
        <f>Sources!H53</f>
        <v>The higher, the better</v>
      </c>
      <c r="K172" s="34" t="s">
        <v>536</v>
      </c>
    </row>
    <row r="173" spans="1:11">
      <c r="A173" s="568"/>
      <c r="B173" s="568"/>
      <c r="C173" s="34" t="s">
        <v>432</v>
      </c>
      <c r="D173" s="34" t="str">
        <f t="shared" si="64"/>
        <v>III</v>
      </c>
      <c r="E173" s="34" t="str">
        <f t="shared" si="65"/>
        <v>Innovation</v>
      </c>
      <c r="F173" s="34" t="str">
        <f t="shared" si="66"/>
        <v>IIIInnovationSTEM Graduates</v>
      </c>
      <c r="G173" s="34" t="str">
        <f>Sources!E54</f>
        <v>World Intellectual Property Organization</v>
      </c>
      <c r="H173" s="34" t="str">
        <f>Sources!F54</f>
        <v>The higher, the better</v>
      </c>
      <c r="I173" s="34" t="str">
        <f>Sources!G54</f>
        <v>World Intellectual Property Organization</v>
      </c>
      <c r="J173" s="34" t="str">
        <f>Sources!H54</f>
        <v>The higher, the better</v>
      </c>
      <c r="K173" s="34" t="s">
        <v>432</v>
      </c>
    </row>
    <row r="193" spans="3:16">
      <c r="F193" s="21" t="s">
        <v>604</v>
      </c>
    </row>
    <row r="194" spans="3:16">
      <c r="C194" s="34" t="str">
        <f>Metrics!C19</f>
        <v>DRC</v>
      </c>
      <c r="D194" s="34">
        <f ca="1">Metrics!D19</f>
        <v>8</v>
      </c>
      <c r="E194" s="34">
        <f ca="1">Metrics!E19</f>
        <v>0</v>
      </c>
      <c r="F194" s="34">
        <f t="shared" ref="F194:F222" si="67">VLOOKUP(C194,$I$194:$J$223,2,FALSE)</f>
        <v>9</v>
      </c>
      <c r="I194" s="34" t="s">
        <v>59</v>
      </c>
      <c r="J194" s="34">
        <f t="shared" ref="J194:J222" si="68">ROW()-ROW($J$193)</f>
        <v>1</v>
      </c>
      <c r="M194" s="34" t="str" cm="1">
        <f t="array" aca="1" ref="M194:P223" ca="1">_xlfn._xlws.SORT(C194:F223,{2,4},1)</f>
        <v>Australia</v>
      </c>
      <c r="N194" s="34">
        <f ca="1"/>
        <v>1</v>
      </c>
      <c r="O194" s="34">
        <f ca="1"/>
        <v>319.58999999999997</v>
      </c>
      <c r="P194" s="34">
        <f ca="1"/>
        <v>2</v>
      </c>
    </row>
    <row r="195" spans="3:16">
      <c r="C195" s="34" t="str">
        <f>Metrics!C20</f>
        <v>Morocco</v>
      </c>
      <c r="D195" s="34">
        <f ca="1">Metrics!D20</f>
        <v>8</v>
      </c>
      <c r="E195" s="34">
        <f ca="1">Metrics!E20</f>
        <v>0</v>
      </c>
      <c r="F195" s="34">
        <f t="shared" si="67"/>
        <v>18</v>
      </c>
      <c r="I195" s="34" t="s">
        <v>9</v>
      </c>
      <c r="J195" s="34">
        <f t="shared" si="68"/>
        <v>2</v>
      </c>
      <c r="M195" s="34" t="str">
        <f ca="1"/>
        <v>Chile</v>
      </c>
      <c r="N195" s="34">
        <f ca="1"/>
        <v>2</v>
      </c>
      <c r="O195" s="34">
        <f ca="1"/>
        <v>220.92500000000001</v>
      </c>
      <c r="P195" s="34">
        <f ca="1"/>
        <v>6</v>
      </c>
    </row>
    <row r="196" spans="3:16">
      <c r="C196" s="34" t="str">
        <f>Metrics!C21</f>
        <v>South Africa</v>
      </c>
      <c r="D196" s="34">
        <f ca="1">Metrics!D21</f>
        <v>8</v>
      </c>
      <c r="E196" s="34">
        <f ca="1">Metrics!E21</f>
        <v>0</v>
      </c>
      <c r="F196" s="34">
        <f t="shared" si="67"/>
        <v>23</v>
      </c>
      <c r="I196" s="34" t="s">
        <v>346</v>
      </c>
      <c r="J196" s="34">
        <f t="shared" si="68"/>
        <v>3</v>
      </c>
      <c r="M196" s="34" t="str">
        <f ca="1"/>
        <v>China</v>
      </c>
      <c r="N196" s="34">
        <f ca="1"/>
        <v>3</v>
      </c>
      <c r="O196" s="34">
        <f ca="1"/>
        <v>161.488</v>
      </c>
      <c r="P196" s="34">
        <f ca="1"/>
        <v>7</v>
      </c>
    </row>
    <row r="197" spans="3:16">
      <c r="C197" s="34" t="str">
        <f>Metrics!C22</f>
        <v>China</v>
      </c>
      <c r="D197" s="34">
        <f ca="1">Metrics!D22</f>
        <v>3</v>
      </c>
      <c r="E197" s="34">
        <f ca="1">Metrics!E22</f>
        <v>161.488</v>
      </c>
      <c r="F197" s="34">
        <f t="shared" si="67"/>
        <v>7</v>
      </c>
      <c r="I197" s="34" t="s">
        <v>11</v>
      </c>
      <c r="J197" s="34">
        <f t="shared" si="68"/>
        <v>4</v>
      </c>
      <c r="M197" s="34" t="str">
        <f ca="1"/>
        <v>Argentina</v>
      </c>
      <c r="N197" s="34">
        <f ca="1"/>
        <v>4</v>
      </c>
      <c r="O197" s="34">
        <f ca="1"/>
        <v>55.3</v>
      </c>
      <c r="P197" s="34">
        <f ca="1"/>
        <v>1</v>
      </c>
    </row>
    <row r="198" spans="3:16">
      <c r="C198" s="34" t="str">
        <f>Metrics!C23</f>
        <v>Japan</v>
      </c>
      <c r="D198" s="34">
        <f ca="1">Metrics!D23</f>
        <v>8</v>
      </c>
      <c r="E198" s="34">
        <f ca="1">Metrics!E23</f>
        <v>0</v>
      </c>
      <c r="F198" s="34">
        <f t="shared" si="67"/>
        <v>16</v>
      </c>
      <c r="I198" s="34" t="s">
        <v>29</v>
      </c>
      <c r="J198" s="34">
        <f t="shared" si="68"/>
        <v>5</v>
      </c>
      <c r="M198" s="34" t="str">
        <f ca="1"/>
        <v>Brazil</v>
      </c>
      <c r="N198" s="34">
        <f ca="1"/>
        <v>5</v>
      </c>
      <c r="O198" s="34">
        <f ca="1"/>
        <v>9.3040000000000003</v>
      </c>
      <c r="P198" s="34">
        <f ca="1"/>
        <v>4</v>
      </c>
    </row>
    <row r="199" spans="3:16">
      <c r="C199" s="34" t="str">
        <f>Metrics!C24</f>
        <v>South Korea</v>
      </c>
      <c r="D199" s="34">
        <f ca="1">Metrics!D24</f>
        <v>8</v>
      </c>
      <c r="E199" s="34">
        <f ca="1">Metrics!E24</f>
        <v>0</v>
      </c>
      <c r="F199" s="34">
        <f t="shared" si="67"/>
        <v>24</v>
      </c>
      <c r="I199" s="34" t="s">
        <v>39</v>
      </c>
      <c r="J199" s="34">
        <f t="shared" si="68"/>
        <v>6</v>
      </c>
      <c r="M199" s="34" t="str">
        <f ca="1"/>
        <v>US</v>
      </c>
      <c r="N199" s="34">
        <f ca="1"/>
        <v>6</v>
      </c>
      <c r="O199" s="34">
        <f ca="1"/>
        <v>5</v>
      </c>
      <c r="P199" s="34">
        <f ca="1"/>
        <v>29</v>
      </c>
    </row>
    <row r="200" spans="3:16">
      <c r="C200" s="34" t="str">
        <f>Metrics!C25</f>
        <v>Australia</v>
      </c>
      <c r="D200" s="34">
        <f ca="1">Metrics!D25</f>
        <v>1</v>
      </c>
      <c r="E200" s="34">
        <f ca="1">Metrics!E25</f>
        <v>319.58999999999997</v>
      </c>
      <c r="F200" s="34">
        <f t="shared" si="67"/>
        <v>2</v>
      </c>
      <c r="I200" s="34" t="s">
        <v>6</v>
      </c>
      <c r="J200" s="34">
        <f t="shared" si="68"/>
        <v>7</v>
      </c>
      <c r="M200" s="34" t="str">
        <f ca="1"/>
        <v>Canada</v>
      </c>
      <c r="N200" s="34">
        <f ca="1"/>
        <v>7</v>
      </c>
      <c r="O200" s="34">
        <f ca="1"/>
        <v>1.9490000000000001</v>
      </c>
      <c r="P200" s="34">
        <f ca="1"/>
        <v>5</v>
      </c>
    </row>
    <row r="201" spans="3:16">
      <c r="C201" s="34" t="str">
        <f>Metrics!C26</f>
        <v>India</v>
      </c>
      <c r="D201" s="34">
        <f ca="1">Metrics!D26</f>
        <v>8</v>
      </c>
      <c r="E201" s="34">
        <f ca="1">Metrics!E26</f>
        <v>0</v>
      </c>
      <c r="F201" s="34">
        <f t="shared" si="67"/>
        <v>14</v>
      </c>
      <c r="I201" s="34" t="s">
        <v>147</v>
      </c>
      <c r="J201" s="34">
        <f t="shared" si="68"/>
        <v>8</v>
      </c>
      <c r="M201" s="34" t="str">
        <f ca="1"/>
        <v>Bolivia</v>
      </c>
      <c r="N201" s="34">
        <f ca="1"/>
        <v>8</v>
      </c>
      <c r="O201" s="34">
        <f ca="1"/>
        <v>0</v>
      </c>
      <c r="P201" s="34">
        <f ca="1"/>
        <v>3</v>
      </c>
    </row>
    <row r="202" spans="3:16">
      <c r="C202" s="34" t="str">
        <f>Metrics!C27</f>
        <v>Indonesia</v>
      </c>
      <c r="D202" s="34">
        <f ca="1">Metrics!D27</f>
        <v>8</v>
      </c>
      <c r="E202" s="34">
        <f ca="1">Metrics!E27</f>
        <v>0</v>
      </c>
      <c r="F202" s="34">
        <f t="shared" si="67"/>
        <v>15</v>
      </c>
      <c r="I202" s="34" t="s">
        <v>343</v>
      </c>
      <c r="J202" s="34">
        <f t="shared" si="68"/>
        <v>9</v>
      </c>
      <c r="M202" s="34" t="str">
        <f ca="1"/>
        <v>Czech Republic</v>
      </c>
      <c r="N202" s="34">
        <f ca="1"/>
        <v>8</v>
      </c>
      <c r="O202" s="34">
        <f ca="1"/>
        <v>0</v>
      </c>
      <c r="P202" s="34">
        <f ca="1"/>
        <v>8</v>
      </c>
    </row>
    <row r="203" spans="3:16">
      <c r="C203" s="34" t="str">
        <f>Metrics!C28</f>
        <v>Philippines</v>
      </c>
      <c r="D203" s="34">
        <f ca="1">Metrics!D28</f>
        <v>8</v>
      </c>
      <c r="E203" s="34">
        <f ca="1">Metrics!E28</f>
        <v>0</v>
      </c>
      <c r="F203" s="34">
        <f t="shared" si="67"/>
        <v>20</v>
      </c>
      <c r="I203" s="34" t="s">
        <v>83</v>
      </c>
      <c r="J203" s="34">
        <f t="shared" si="68"/>
        <v>10</v>
      </c>
      <c r="M203" s="34" t="str">
        <f ca="1"/>
        <v>DRC</v>
      </c>
      <c r="N203" s="34">
        <f ca="1"/>
        <v>8</v>
      </c>
      <c r="O203" s="34">
        <f ca="1"/>
        <v>0</v>
      </c>
      <c r="P203" s="34">
        <f ca="1"/>
        <v>9</v>
      </c>
    </row>
    <row r="204" spans="3:16">
      <c r="C204" s="34" t="str">
        <f>Metrics!C29</f>
        <v>Thailand</v>
      </c>
      <c r="D204" s="34">
        <f ca="1">Metrics!D29</f>
        <v>8</v>
      </c>
      <c r="E204" s="34">
        <f ca="1">Metrics!E29</f>
        <v>0</v>
      </c>
      <c r="F204" s="34">
        <f t="shared" si="67"/>
        <v>26</v>
      </c>
      <c r="I204" s="34" t="s">
        <v>26</v>
      </c>
      <c r="J204" s="34">
        <f t="shared" si="68"/>
        <v>11</v>
      </c>
      <c r="M204" s="34" t="str">
        <f ca="1"/>
        <v>Finland</v>
      </c>
      <c r="N204" s="34">
        <f ca="1"/>
        <v>8</v>
      </c>
      <c r="O204" s="34">
        <f ca="1"/>
        <v>0</v>
      </c>
      <c r="P204" s="34">
        <f ca="1"/>
        <v>10</v>
      </c>
    </row>
    <row r="205" spans="3:16">
      <c r="C205" s="34" t="str">
        <f>Metrics!C30</f>
        <v>Vietnam</v>
      </c>
      <c r="D205" s="34">
        <f ca="1">Metrics!D30</f>
        <v>8</v>
      </c>
      <c r="E205" s="34">
        <f ca="1">Metrics!E30</f>
        <v>0</v>
      </c>
      <c r="F205" s="34">
        <f t="shared" si="67"/>
        <v>30</v>
      </c>
      <c r="I205" s="34" t="s">
        <v>25</v>
      </c>
      <c r="J205" s="34">
        <f t="shared" si="68"/>
        <v>12</v>
      </c>
      <c r="M205" s="34" t="str">
        <f ca="1"/>
        <v>France</v>
      </c>
      <c r="N205" s="34">
        <f ca="1"/>
        <v>8</v>
      </c>
      <c r="O205" s="34">
        <f ca="1"/>
        <v>0</v>
      </c>
      <c r="P205" s="34">
        <f ca="1"/>
        <v>11</v>
      </c>
    </row>
    <row r="206" spans="3:16">
      <c r="C206" s="34" t="str">
        <f>Metrics!C31</f>
        <v>Czech Republic</v>
      </c>
      <c r="D206" s="34">
        <f ca="1">Metrics!D31</f>
        <v>8</v>
      </c>
      <c r="E206" s="34">
        <f ca="1">Metrics!E31</f>
        <v>0</v>
      </c>
      <c r="F206" s="34">
        <f t="shared" si="67"/>
        <v>8</v>
      </c>
      <c r="I206" s="34" t="s">
        <v>55</v>
      </c>
      <c r="J206" s="34">
        <f t="shared" si="68"/>
        <v>13</v>
      </c>
      <c r="M206" s="34" t="str">
        <f ca="1"/>
        <v>Germany</v>
      </c>
      <c r="N206" s="34">
        <f ca="1"/>
        <v>8</v>
      </c>
      <c r="O206" s="34">
        <f ca="1"/>
        <v>0</v>
      </c>
      <c r="P206" s="34">
        <f ca="1"/>
        <v>12</v>
      </c>
    </row>
    <row r="207" spans="3:16">
      <c r="C207" s="34" t="str">
        <f>Metrics!C32</f>
        <v>Finland</v>
      </c>
      <c r="D207" s="34">
        <f ca="1">Metrics!D32</f>
        <v>8</v>
      </c>
      <c r="E207" s="34">
        <f ca="1">Metrics!E32</f>
        <v>0</v>
      </c>
      <c r="F207" s="34">
        <f t="shared" si="67"/>
        <v>10</v>
      </c>
      <c r="I207" s="34" t="s">
        <v>7</v>
      </c>
      <c r="J207" s="34">
        <f t="shared" si="68"/>
        <v>14</v>
      </c>
      <c r="M207" s="34" t="str">
        <f ca="1"/>
        <v>Hungary</v>
      </c>
      <c r="N207" s="34">
        <f ca="1"/>
        <v>8</v>
      </c>
      <c r="O207" s="34">
        <f ca="1"/>
        <v>0</v>
      </c>
      <c r="P207" s="34">
        <f ca="1"/>
        <v>13</v>
      </c>
    </row>
    <row r="208" spans="3:16">
      <c r="C208" s="34" t="str">
        <f>Metrics!C33</f>
        <v>France</v>
      </c>
      <c r="D208" s="34">
        <f ca="1">Metrics!D33</f>
        <v>8</v>
      </c>
      <c r="E208" s="34">
        <f ca="1">Metrics!E33</f>
        <v>0</v>
      </c>
      <c r="F208" s="34">
        <f t="shared" si="67"/>
        <v>11</v>
      </c>
      <c r="I208" s="34" t="s">
        <v>10</v>
      </c>
      <c r="J208" s="34">
        <f t="shared" si="68"/>
        <v>15</v>
      </c>
      <c r="M208" s="34" t="str">
        <f ca="1"/>
        <v>India</v>
      </c>
      <c r="N208" s="34">
        <f ca="1"/>
        <v>8</v>
      </c>
      <c r="O208" s="34">
        <f ca="1"/>
        <v>0</v>
      </c>
      <c r="P208" s="34">
        <f ca="1"/>
        <v>14</v>
      </c>
    </row>
    <row r="209" spans="3:16">
      <c r="C209" s="34" t="str">
        <f>Metrics!C34</f>
        <v>Germany</v>
      </c>
      <c r="D209" s="34">
        <f ca="1">Metrics!D34</f>
        <v>8</v>
      </c>
      <c r="E209" s="34">
        <f ca="1">Metrics!E34</f>
        <v>0</v>
      </c>
      <c r="F209" s="34">
        <f t="shared" si="67"/>
        <v>12</v>
      </c>
      <c r="I209" s="34" t="s">
        <v>8</v>
      </c>
      <c r="J209" s="34">
        <f t="shared" si="68"/>
        <v>16</v>
      </c>
      <c r="M209" s="34" t="str">
        <f ca="1"/>
        <v>Indonesia</v>
      </c>
      <c r="N209" s="34">
        <f ca="1"/>
        <v>8</v>
      </c>
      <c r="O209" s="34">
        <f ca="1"/>
        <v>0</v>
      </c>
      <c r="P209" s="34">
        <f ca="1"/>
        <v>15</v>
      </c>
    </row>
    <row r="210" spans="3:16">
      <c r="C210" s="34" t="str">
        <f>Metrics!C35</f>
        <v>Hungary</v>
      </c>
      <c r="D210" s="34">
        <f ca="1">Metrics!D35</f>
        <v>8</v>
      </c>
      <c r="E210" s="34">
        <f ca="1">Metrics!E35</f>
        <v>0</v>
      </c>
      <c r="F210" s="34">
        <f t="shared" si="67"/>
        <v>13</v>
      </c>
      <c r="I210" s="34" t="s">
        <v>12</v>
      </c>
      <c r="J210" s="34">
        <f t="shared" si="68"/>
        <v>17</v>
      </c>
      <c r="M210" s="34" t="str">
        <f ca="1"/>
        <v>Japan</v>
      </c>
      <c r="N210" s="34">
        <f ca="1"/>
        <v>8</v>
      </c>
      <c r="O210" s="34">
        <f ca="1"/>
        <v>0</v>
      </c>
      <c r="P210" s="34">
        <f ca="1"/>
        <v>16</v>
      </c>
    </row>
    <row r="211" spans="3:16">
      <c r="C211" s="34" t="str">
        <f>Metrics!C36</f>
        <v>Norway</v>
      </c>
      <c r="D211" s="34">
        <f ca="1">Metrics!D36</f>
        <v>8</v>
      </c>
      <c r="E211" s="34">
        <f ca="1">Metrics!E36</f>
        <v>0</v>
      </c>
      <c r="F211" s="34">
        <f t="shared" si="67"/>
        <v>19</v>
      </c>
      <c r="I211" s="34" t="s">
        <v>344</v>
      </c>
      <c r="J211" s="34">
        <f t="shared" si="68"/>
        <v>18</v>
      </c>
      <c r="M211" s="34" t="str">
        <f ca="1"/>
        <v>Mexico</v>
      </c>
      <c r="N211" s="34">
        <f ca="1"/>
        <v>8</v>
      </c>
      <c r="O211" s="34">
        <f ca="1"/>
        <v>0</v>
      </c>
      <c r="P211" s="34">
        <f ca="1"/>
        <v>17</v>
      </c>
    </row>
    <row r="212" spans="3:16">
      <c r="C212" s="34" t="str">
        <f>Metrics!C37</f>
        <v>Poland</v>
      </c>
      <c r="D212" s="34">
        <f ca="1">Metrics!D37</f>
        <v>8</v>
      </c>
      <c r="E212" s="34">
        <f ca="1">Metrics!E37</f>
        <v>0</v>
      </c>
      <c r="F212" s="34">
        <f t="shared" si="67"/>
        <v>21</v>
      </c>
      <c r="I212" s="34" t="s">
        <v>339</v>
      </c>
      <c r="J212" s="34">
        <f t="shared" si="68"/>
        <v>19</v>
      </c>
      <c r="M212" s="34" t="str">
        <f ca="1"/>
        <v>Morocco</v>
      </c>
      <c r="N212" s="34">
        <f ca="1"/>
        <v>8</v>
      </c>
      <c r="O212" s="34">
        <f ca="1"/>
        <v>0</v>
      </c>
      <c r="P212" s="34">
        <f ca="1"/>
        <v>18</v>
      </c>
    </row>
    <row r="213" spans="3:16">
      <c r="C213" s="34" t="str">
        <f>Metrics!C38</f>
        <v>Slovakia</v>
      </c>
      <c r="D213" s="34">
        <f ca="1">Metrics!D38</f>
        <v>8</v>
      </c>
      <c r="E213" s="34">
        <f ca="1">Metrics!E38</f>
        <v>0</v>
      </c>
      <c r="F213" s="34">
        <f t="shared" si="67"/>
        <v>22</v>
      </c>
      <c r="I213" s="34" t="s">
        <v>82</v>
      </c>
      <c r="J213" s="34">
        <f t="shared" si="68"/>
        <v>20</v>
      </c>
      <c r="M213" s="34" t="str">
        <f ca="1"/>
        <v>Norway</v>
      </c>
      <c r="N213" s="34">
        <f ca="1"/>
        <v>8</v>
      </c>
      <c r="O213" s="34">
        <f ca="1"/>
        <v>0</v>
      </c>
      <c r="P213" s="34">
        <f ca="1"/>
        <v>19</v>
      </c>
    </row>
    <row r="214" spans="3:16">
      <c r="C214" s="34" t="str">
        <f>Metrics!C39</f>
        <v>Sweden</v>
      </c>
      <c r="D214" s="34">
        <f ca="1">Metrics!D39</f>
        <v>8</v>
      </c>
      <c r="E214" s="34">
        <f ca="1">Metrics!E39</f>
        <v>0</v>
      </c>
      <c r="F214" s="34">
        <f t="shared" si="67"/>
        <v>25</v>
      </c>
      <c r="I214" s="34" t="s">
        <v>27</v>
      </c>
      <c r="J214" s="34">
        <f t="shared" si="68"/>
        <v>21</v>
      </c>
      <c r="M214" s="34" t="str">
        <f ca="1"/>
        <v>Philippines</v>
      </c>
      <c r="N214" s="34">
        <f ca="1"/>
        <v>8</v>
      </c>
      <c r="O214" s="34">
        <f ca="1"/>
        <v>0</v>
      </c>
      <c r="P214" s="34">
        <f ca="1"/>
        <v>20</v>
      </c>
    </row>
    <row r="215" spans="3:16">
      <c r="C215" s="34" t="str">
        <f>Metrics!C40</f>
        <v>Turkey</v>
      </c>
      <c r="D215" s="34">
        <f ca="1">Metrics!D40</f>
        <v>8</v>
      </c>
      <c r="E215" s="34">
        <f ca="1">Metrics!E40</f>
        <v>0</v>
      </c>
      <c r="F215" s="34">
        <f t="shared" si="67"/>
        <v>27</v>
      </c>
      <c r="I215" s="34" t="s">
        <v>340</v>
      </c>
      <c r="J215" s="34">
        <f t="shared" si="68"/>
        <v>22</v>
      </c>
      <c r="M215" s="34" t="str">
        <f ca="1"/>
        <v>Poland</v>
      </c>
      <c r="N215" s="34">
        <f ca="1"/>
        <v>8</v>
      </c>
      <c r="O215" s="34">
        <f ca="1"/>
        <v>0</v>
      </c>
      <c r="P215" s="34">
        <f ca="1"/>
        <v>21</v>
      </c>
    </row>
    <row r="216" spans="3:16">
      <c r="C216" s="34" t="str">
        <f>Metrics!C41</f>
        <v>UK</v>
      </c>
      <c r="D216" s="34">
        <f ca="1">Metrics!D41</f>
        <v>8</v>
      </c>
      <c r="E216" s="34">
        <f ca="1">Metrics!E41</f>
        <v>0</v>
      </c>
      <c r="F216" s="34">
        <f t="shared" si="67"/>
        <v>28</v>
      </c>
      <c r="I216" s="34" t="s">
        <v>32</v>
      </c>
      <c r="J216" s="34">
        <f t="shared" si="68"/>
        <v>23</v>
      </c>
      <c r="M216" s="34" t="str">
        <f ca="1"/>
        <v>Slovakia</v>
      </c>
      <c r="N216" s="34">
        <f ca="1"/>
        <v>8</v>
      </c>
      <c r="O216" s="34">
        <f ca="1"/>
        <v>0</v>
      </c>
      <c r="P216" s="34">
        <f ca="1"/>
        <v>22</v>
      </c>
    </row>
    <row r="217" spans="3:16">
      <c r="C217" s="34" t="str">
        <f>Metrics!C42</f>
        <v>Canada</v>
      </c>
      <c r="D217" s="34">
        <f ca="1">Metrics!D42</f>
        <v>7</v>
      </c>
      <c r="E217" s="34">
        <f ca="1">Metrics!E42</f>
        <v>1.9490000000000001</v>
      </c>
      <c r="F217" s="34">
        <f t="shared" si="67"/>
        <v>5</v>
      </c>
      <c r="I217" s="34" t="s">
        <v>14</v>
      </c>
      <c r="J217" s="34">
        <f t="shared" si="68"/>
        <v>24</v>
      </c>
      <c r="M217" s="34" t="str">
        <f ca="1"/>
        <v>South Africa</v>
      </c>
      <c r="N217" s="34">
        <f ca="1"/>
        <v>8</v>
      </c>
      <c r="O217" s="34">
        <f ca="1"/>
        <v>0</v>
      </c>
      <c r="P217" s="34">
        <f ca="1"/>
        <v>23</v>
      </c>
    </row>
    <row r="218" spans="3:16">
      <c r="C218" s="34" t="str">
        <f>Metrics!C43</f>
        <v>Mexico</v>
      </c>
      <c r="D218" s="34">
        <f ca="1">Metrics!D43</f>
        <v>8</v>
      </c>
      <c r="E218" s="34">
        <f ca="1">Metrics!E43</f>
        <v>0</v>
      </c>
      <c r="F218" s="34">
        <f t="shared" si="67"/>
        <v>17</v>
      </c>
      <c r="I218" s="34" t="s">
        <v>28</v>
      </c>
      <c r="J218" s="34">
        <f t="shared" si="68"/>
        <v>25</v>
      </c>
      <c r="M218" s="34" t="str">
        <f ca="1"/>
        <v>South Korea</v>
      </c>
      <c r="N218" s="34">
        <f ca="1"/>
        <v>8</v>
      </c>
      <c r="O218" s="34">
        <f ca="1"/>
        <v>0</v>
      </c>
      <c r="P218" s="34">
        <f ca="1"/>
        <v>24</v>
      </c>
    </row>
    <row r="219" spans="3:16">
      <c r="C219" s="34" t="str">
        <f>Metrics!C44</f>
        <v>US</v>
      </c>
      <c r="D219" s="34">
        <f ca="1">Metrics!D44</f>
        <v>6</v>
      </c>
      <c r="E219" s="34">
        <f ca="1">Metrics!E44</f>
        <v>5</v>
      </c>
      <c r="F219" s="34">
        <f t="shared" si="67"/>
        <v>29</v>
      </c>
      <c r="I219" s="34" t="s">
        <v>57</v>
      </c>
      <c r="J219" s="34">
        <f t="shared" si="68"/>
        <v>26</v>
      </c>
      <c r="M219" s="34" t="str">
        <f ca="1"/>
        <v>Sweden</v>
      </c>
      <c r="N219" s="34">
        <f ca="1"/>
        <v>8</v>
      </c>
      <c r="O219" s="34">
        <f ca="1"/>
        <v>0</v>
      </c>
      <c r="P219" s="34">
        <f ca="1"/>
        <v>25</v>
      </c>
    </row>
    <row r="220" spans="3:16">
      <c r="C220" s="34" t="str">
        <f>Metrics!C45</f>
        <v>Argentina</v>
      </c>
      <c r="D220" s="34">
        <f ca="1">Metrics!D45</f>
        <v>4</v>
      </c>
      <c r="E220" s="34">
        <f ca="1">Metrics!E45</f>
        <v>55.3</v>
      </c>
      <c r="F220" s="34">
        <f t="shared" si="67"/>
        <v>1</v>
      </c>
      <c r="I220" s="34" t="s">
        <v>341</v>
      </c>
      <c r="J220" s="34">
        <f t="shared" si="68"/>
        <v>27</v>
      </c>
      <c r="M220" s="34" t="str">
        <f ca="1"/>
        <v>Thailand</v>
      </c>
      <c r="N220" s="34">
        <f ca="1"/>
        <v>8</v>
      </c>
      <c r="O220" s="34">
        <f ca="1"/>
        <v>0</v>
      </c>
      <c r="P220" s="34">
        <f ca="1"/>
        <v>26</v>
      </c>
    </row>
    <row r="221" spans="3:16">
      <c r="C221" s="34" t="str">
        <f>Metrics!C46</f>
        <v>Bolivia</v>
      </c>
      <c r="D221" s="34">
        <f ca="1">Metrics!D46</f>
        <v>8</v>
      </c>
      <c r="E221" s="34">
        <f ca="1">Metrics!E46</f>
        <v>0</v>
      </c>
      <c r="F221" s="34">
        <f t="shared" si="67"/>
        <v>3</v>
      </c>
      <c r="I221" s="34" t="s">
        <v>342</v>
      </c>
      <c r="J221" s="34">
        <f t="shared" si="68"/>
        <v>28</v>
      </c>
      <c r="M221" s="34" t="str">
        <f ca="1"/>
        <v>Turkey</v>
      </c>
      <c r="N221" s="34">
        <f ca="1"/>
        <v>8</v>
      </c>
      <c r="O221" s="34">
        <f ca="1"/>
        <v>0</v>
      </c>
      <c r="P221" s="34">
        <f ca="1"/>
        <v>27</v>
      </c>
    </row>
    <row r="222" spans="3:16">
      <c r="C222" s="34" t="str">
        <f>Metrics!C47</f>
        <v>Brazil</v>
      </c>
      <c r="D222" s="34">
        <f ca="1">Metrics!D47</f>
        <v>5</v>
      </c>
      <c r="E222" s="34">
        <f ca="1">Metrics!E47</f>
        <v>9.3040000000000003</v>
      </c>
      <c r="F222" s="34">
        <f t="shared" si="67"/>
        <v>4</v>
      </c>
      <c r="I222" s="34" t="s">
        <v>345</v>
      </c>
      <c r="J222" s="34">
        <f t="shared" si="68"/>
        <v>29</v>
      </c>
      <c r="M222" s="34" t="str">
        <f ca="1"/>
        <v>UK</v>
      </c>
      <c r="N222" s="34">
        <f ca="1"/>
        <v>8</v>
      </c>
      <c r="O222" s="34">
        <f ca="1"/>
        <v>0</v>
      </c>
      <c r="P222" s="34">
        <f ca="1"/>
        <v>28</v>
      </c>
    </row>
    <row r="223" spans="3:16">
      <c r="C223" s="34" t="str">
        <f>Metrics!C48</f>
        <v>Chile</v>
      </c>
      <c r="D223" s="34">
        <f ca="1">Metrics!D48</f>
        <v>2</v>
      </c>
      <c r="E223" s="34">
        <f ca="1">Metrics!E48</f>
        <v>220.92500000000001</v>
      </c>
      <c r="F223" s="34">
        <f>VLOOKUP(C223,$I$194:$J$223,2,FALSE)</f>
        <v>6</v>
      </c>
      <c r="I223" s="34" t="s">
        <v>58</v>
      </c>
      <c r="J223" s="34">
        <f>ROW()-ROW($J$193)</f>
        <v>30</v>
      </c>
      <c r="M223" s="34" t="str">
        <f ca="1"/>
        <v>Vietnam</v>
      </c>
      <c r="N223" s="34">
        <f ca="1"/>
        <v>8</v>
      </c>
      <c r="O223" s="34">
        <f ca="1"/>
        <v>0</v>
      </c>
      <c r="P223" s="34">
        <f ca="1"/>
        <v>30</v>
      </c>
    </row>
  </sheetData>
  <sheetProtection formatCells="0"/>
  <sortState xmlns:xlrd2="http://schemas.microsoft.com/office/spreadsheetml/2017/richdata2" ref="R8:T14">
    <sortCondition ref="R8:R14"/>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U57"/>
  <sheetViews>
    <sheetView topLeftCell="A25" workbookViewId="0">
      <selection activeCell="F50" sqref="F50"/>
    </sheetView>
  </sheetViews>
  <sheetFormatPr defaultRowHeight="12.75"/>
  <cols>
    <col min="1" max="1" width="30.28515625" bestFit="1" customWidth="1"/>
    <col min="6" max="6" width="21.5703125" customWidth="1"/>
    <col min="7" max="7" width="22.5703125" bestFit="1" customWidth="1"/>
  </cols>
  <sheetData>
    <row r="1" spans="1:21" s="35" customFormat="1" ht="38.1" customHeight="1"/>
    <row r="2" spans="1:21" s="34" customFormat="1"/>
    <row r="3" spans="1:21" s="34" customFormat="1" ht="15">
      <c r="A3" s="39" t="s">
        <v>19</v>
      </c>
      <c r="B3" s="20" t="s">
        <v>209</v>
      </c>
      <c r="E3" s="21"/>
      <c r="F3" s="21"/>
    </row>
    <row r="4" spans="1:21" s="34" customFormat="1">
      <c r="A4" s="39" t="s">
        <v>20</v>
      </c>
      <c r="B4" s="22" t="s">
        <v>2</v>
      </c>
      <c r="E4" s="21"/>
    </row>
    <row r="5" spans="1:21" s="34" customFormat="1">
      <c r="A5" s="39" t="s">
        <v>21</v>
      </c>
      <c r="B5" s="22" t="s">
        <v>1</v>
      </c>
    </row>
    <row r="6" spans="1:21" s="34" customFormat="1">
      <c r="A6" s="40" t="s">
        <v>0</v>
      </c>
      <c r="K6" s="21"/>
    </row>
    <row r="7" spans="1:21" s="34" customFormat="1"/>
    <row r="8" spans="1:21" s="34" customFormat="1">
      <c r="A8" s="34">
        <f>COUNTA(A11:A50)</f>
        <v>30</v>
      </c>
    </row>
    <row r="9" spans="1:21">
      <c r="A9" t="str">
        <f>B3&amp;"!"&amp;ADDRESS(ROW(A11),COLUMN(A11))&amp;":"&amp;ADDRESS(ROW(A11)+$A$8-1,COLUMN(A11))</f>
        <v>Dict!$A$11:$A$40</v>
      </c>
      <c r="T9" t="s">
        <v>3</v>
      </c>
      <c r="U9" t="s">
        <v>628</v>
      </c>
    </row>
    <row r="10" spans="1:21">
      <c r="A10" s="23" t="s">
        <v>207</v>
      </c>
      <c r="C10" s="21" t="s">
        <v>208</v>
      </c>
      <c r="F10" s="122" t="s">
        <v>222</v>
      </c>
      <c r="G10" s="231" t="s">
        <v>34</v>
      </c>
      <c r="K10" s="126" t="s">
        <v>147</v>
      </c>
      <c r="L10" s="127">
        <v>0</v>
      </c>
      <c r="N10" t="s">
        <v>59</v>
      </c>
    </row>
    <row r="11" spans="1:21">
      <c r="A11" t="s">
        <v>147</v>
      </c>
      <c r="C11">
        <v>2022</v>
      </c>
      <c r="F11" s="122" t="s">
        <v>223</v>
      </c>
      <c r="G11" s="143" t="s">
        <v>491</v>
      </c>
      <c r="K11" s="126" t="s">
        <v>26</v>
      </c>
      <c r="L11" s="127">
        <v>0</v>
      </c>
      <c r="N11" t="s">
        <v>9</v>
      </c>
    </row>
    <row r="12" spans="1:21">
      <c r="A12" t="s">
        <v>83</v>
      </c>
      <c r="C12">
        <v>2023</v>
      </c>
      <c r="F12" s="21" t="s">
        <v>438</v>
      </c>
      <c r="G12" s="530" t="s">
        <v>468</v>
      </c>
      <c r="K12" s="126" t="s">
        <v>25</v>
      </c>
      <c r="L12" s="127">
        <v>0</v>
      </c>
      <c r="N12" t="s">
        <v>346</v>
      </c>
    </row>
    <row r="13" spans="1:21">
      <c r="A13" t="s">
        <v>26</v>
      </c>
      <c r="F13" s="21" t="s">
        <v>465</v>
      </c>
      <c r="G13" s="123">
        <v>4</v>
      </c>
      <c r="K13" s="126" t="s">
        <v>55</v>
      </c>
      <c r="L13" s="127">
        <v>0</v>
      </c>
      <c r="N13" t="s">
        <v>11</v>
      </c>
    </row>
    <row r="14" spans="1:21">
      <c r="A14" t="s">
        <v>25</v>
      </c>
      <c r="F14" s="21"/>
      <c r="G14" s="123"/>
      <c r="K14" s="126" t="s">
        <v>27</v>
      </c>
      <c r="L14" s="127">
        <v>0</v>
      </c>
      <c r="N14" t="s">
        <v>29</v>
      </c>
    </row>
    <row r="15" spans="1:21">
      <c r="A15" t="s">
        <v>55</v>
      </c>
      <c r="F15" s="21" t="s">
        <v>466</v>
      </c>
      <c r="G15" s="123">
        <v>5</v>
      </c>
      <c r="K15" s="126" t="s">
        <v>28</v>
      </c>
      <c r="L15" s="127">
        <v>0</v>
      </c>
      <c r="N15" t="s">
        <v>39</v>
      </c>
    </row>
    <row r="16" spans="1:21">
      <c r="A16" t="s">
        <v>339</v>
      </c>
      <c r="F16" s="21" t="s">
        <v>226</v>
      </c>
      <c r="G16" s="123" t="s">
        <v>227</v>
      </c>
      <c r="K16" s="126" t="s">
        <v>83</v>
      </c>
      <c r="L16" s="127">
        <v>2.8</v>
      </c>
      <c r="N16" t="s">
        <v>6</v>
      </c>
    </row>
    <row r="17" spans="1:14">
      <c r="A17" t="s">
        <v>27</v>
      </c>
      <c r="F17" s="21" t="s">
        <v>467</v>
      </c>
      <c r="G17" s="34" t="s">
        <v>42</v>
      </c>
      <c r="K17" s="126" t="s">
        <v>24</v>
      </c>
      <c r="L17" s="127">
        <v>0</v>
      </c>
      <c r="N17" s="34" t="s">
        <v>147</v>
      </c>
    </row>
    <row r="18" spans="1:14">
      <c r="A18" t="s">
        <v>340</v>
      </c>
      <c r="F18" s="245" t="s">
        <v>264</v>
      </c>
      <c r="G18" s="34">
        <v>11</v>
      </c>
      <c r="K18" s="126" t="s">
        <v>81</v>
      </c>
      <c r="L18" s="127">
        <v>116.51300000000001</v>
      </c>
      <c r="N18" t="s">
        <v>343</v>
      </c>
    </row>
    <row r="19" spans="1:14">
      <c r="A19" t="s">
        <v>28</v>
      </c>
      <c r="K19" s="126" t="s">
        <v>32</v>
      </c>
      <c r="L19" s="127">
        <v>2.4</v>
      </c>
      <c r="N19" t="s">
        <v>83</v>
      </c>
    </row>
    <row r="20" spans="1:14">
      <c r="A20" t="s">
        <v>341</v>
      </c>
      <c r="K20" s="126" t="s">
        <v>29</v>
      </c>
      <c r="L20" s="127">
        <v>3.8</v>
      </c>
      <c r="N20" t="s">
        <v>26</v>
      </c>
    </row>
    <row r="21" spans="1:14">
      <c r="A21" t="s">
        <v>342</v>
      </c>
      <c r="K21" s="126" t="s">
        <v>12</v>
      </c>
      <c r="L21" s="127">
        <v>1.5</v>
      </c>
      <c r="N21" t="s">
        <v>25</v>
      </c>
    </row>
    <row r="22" spans="1:14">
      <c r="A22" t="s">
        <v>343</v>
      </c>
      <c r="K22" s="126" t="s">
        <v>84</v>
      </c>
      <c r="L22" s="127">
        <v>0</v>
      </c>
      <c r="N22" t="s">
        <v>55</v>
      </c>
    </row>
    <row r="23" spans="1:14">
      <c r="A23" t="s">
        <v>344</v>
      </c>
      <c r="K23" s="126" t="s">
        <v>59</v>
      </c>
      <c r="L23" s="127">
        <v>0</v>
      </c>
      <c r="N23" t="s">
        <v>7</v>
      </c>
    </row>
    <row r="24" spans="1:14">
      <c r="A24" t="s">
        <v>32</v>
      </c>
      <c r="K24" s="126" t="s">
        <v>11</v>
      </c>
      <c r="L24" s="127">
        <v>0</v>
      </c>
      <c r="N24" t="s">
        <v>10</v>
      </c>
    </row>
    <row r="25" spans="1:14">
      <c r="A25" t="s">
        <v>29</v>
      </c>
      <c r="K25" s="126" t="s">
        <v>39</v>
      </c>
      <c r="L25" s="127">
        <v>0</v>
      </c>
      <c r="N25" t="s">
        <v>8</v>
      </c>
    </row>
    <row r="26" spans="1:14">
      <c r="A26" t="s">
        <v>12</v>
      </c>
      <c r="K26" s="126" t="s">
        <v>6</v>
      </c>
      <c r="L26" s="127">
        <v>0</v>
      </c>
      <c r="N26" t="s">
        <v>12</v>
      </c>
    </row>
    <row r="27" spans="1:14">
      <c r="A27" t="s">
        <v>345</v>
      </c>
      <c r="K27" s="126" t="s">
        <v>8</v>
      </c>
      <c r="L27" s="127">
        <v>0</v>
      </c>
      <c r="N27" t="s">
        <v>344</v>
      </c>
    </row>
    <row r="28" spans="1:14">
      <c r="A28" t="s">
        <v>59</v>
      </c>
      <c r="K28" s="126" t="s">
        <v>14</v>
      </c>
      <c r="L28" s="127">
        <v>0</v>
      </c>
      <c r="N28" t="s">
        <v>339</v>
      </c>
    </row>
    <row r="29" spans="1:14">
      <c r="A29" t="s">
        <v>346</v>
      </c>
      <c r="K29" s="126" t="s">
        <v>7</v>
      </c>
      <c r="L29" s="127">
        <v>0</v>
      </c>
      <c r="N29" t="s">
        <v>82</v>
      </c>
    </row>
    <row r="30" spans="1:14">
      <c r="A30" t="s">
        <v>11</v>
      </c>
      <c r="K30" s="126" t="s">
        <v>10</v>
      </c>
      <c r="L30" s="127">
        <v>0</v>
      </c>
      <c r="N30" t="s">
        <v>27</v>
      </c>
    </row>
    <row r="31" spans="1:14">
      <c r="A31" t="s">
        <v>39</v>
      </c>
      <c r="K31" s="126" t="s">
        <v>82</v>
      </c>
      <c r="L31" s="127">
        <v>5</v>
      </c>
      <c r="N31" t="s">
        <v>340</v>
      </c>
    </row>
    <row r="32" spans="1:14">
      <c r="A32" t="s">
        <v>6</v>
      </c>
      <c r="K32" s="126" t="s">
        <v>57</v>
      </c>
      <c r="L32" s="127">
        <v>0</v>
      </c>
      <c r="N32" t="s">
        <v>32</v>
      </c>
    </row>
    <row r="33" spans="1:14">
      <c r="A33" t="s">
        <v>8</v>
      </c>
      <c r="K33" s="126" t="s">
        <v>58</v>
      </c>
      <c r="L33" s="127">
        <v>0</v>
      </c>
      <c r="N33" t="s">
        <v>14</v>
      </c>
    </row>
    <row r="34" spans="1:14">
      <c r="A34" t="s">
        <v>14</v>
      </c>
      <c r="K34" s="272" t="s">
        <v>9</v>
      </c>
      <c r="L34" s="273">
        <v>3.95</v>
      </c>
      <c r="N34" t="s">
        <v>28</v>
      </c>
    </row>
    <row r="35" spans="1:14">
      <c r="A35" t="s">
        <v>9</v>
      </c>
      <c r="N35" t="s">
        <v>57</v>
      </c>
    </row>
    <row r="36" spans="1:14">
      <c r="A36" t="s">
        <v>7</v>
      </c>
      <c r="N36" t="s">
        <v>341</v>
      </c>
    </row>
    <row r="37" spans="1:14">
      <c r="A37" t="s">
        <v>10</v>
      </c>
      <c r="N37" t="s">
        <v>342</v>
      </c>
    </row>
    <row r="38" spans="1:14">
      <c r="A38" t="s">
        <v>82</v>
      </c>
      <c r="N38" t="s">
        <v>345</v>
      </c>
    </row>
    <row r="39" spans="1:14">
      <c r="A39" t="s">
        <v>57</v>
      </c>
      <c r="N39" t="s">
        <v>58</v>
      </c>
    </row>
    <row r="40" spans="1:14">
      <c r="A40" t="s">
        <v>58</v>
      </c>
    </row>
    <row r="51" spans="1:2">
      <c r="A51" s="21" t="s">
        <v>3</v>
      </c>
    </row>
    <row r="52" spans="1:2">
      <c r="A52" s="21" t="s">
        <v>337</v>
      </c>
      <c r="B52" s="21" t="s">
        <v>337</v>
      </c>
    </row>
    <row r="53" spans="1:2">
      <c r="A53" s="21" t="s">
        <v>42</v>
      </c>
      <c r="B53" s="21" t="s">
        <v>676</v>
      </c>
    </row>
    <row r="54" spans="1:2">
      <c r="A54" t="s">
        <v>655</v>
      </c>
      <c r="B54" s="21" t="s">
        <v>676</v>
      </c>
    </row>
    <row r="55" spans="1:2" s="34" customFormat="1">
      <c r="A55" s="34" t="s">
        <v>675</v>
      </c>
      <c r="B55" s="21" t="s">
        <v>677</v>
      </c>
    </row>
    <row r="56" spans="1:2">
      <c r="A56" s="21" t="s">
        <v>50</v>
      </c>
      <c r="B56" t="s">
        <v>659</v>
      </c>
    </row>
    <row r="57" spans="1:2">
      <c r="A57" t="s">
        <v>660</v>
      </c>
      <c r="B57" s="21" t="s">
        <v>664</v>
      </c>
    </row>
  </sheetData>
  <sheetProtection formatCells="0"/>
  <protectedRanges>
    <protectedRange sqref="K10:L34" name="Ranking"/>
    <protectedRange sqref="G13:G18 G10:G11" name="Calc"/>
  </protectedRanges>
  <sortState xmlns:xlrd2="http://schemas.microsoft.com/office/spreadsheetml/2017/richdata2" ref="N10:N39">
    <sortCondition ref="N10:N39"/>
  </sortState>
  <phoneticPr fontId="57" type="noConversion"/>
  <conditionalFormatting sqref="K10:L34">
    <cfRule type="expression" dxfId="18" priority="4" stopIfTrue="1">
      <formula>MOD(ROW(),2)=0</formula>
    </cfRule>
  </conditionalFormatting>
  <conditionalFormatting sqref="K10:L34">
    <cfRule type="expression" dxfId="17" priority="1">
      <formula>$C10=$C$4</formula>
    </cfRule>
    <cfRule type="expression" dxfId="16" priority="2" stopIfTrue="1">
      <formula>MOD(ROW(),2)=1</formula>
    </cfRule>
  </conditionalFormatting>
  <conditionalFormatting sqref="K10:L34">
    <cfRule type="expression" dxfId="15" priority="3" stopIfTrue="1">
      <formula>MOD(ROW(),2)=1</formula>
    </cfRule>
  </conditionalFormatting>
  <hyperlinks>
    <hyperlink ref="A6" location="rng_Cover_Copyright" display="Subject to terms and conditions" xr:uid="{00000000-0004-0000-0500-000000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N79"/>
  <sheetViews>
    <sheetView showGridLines="0" zoomScale="71" zoomScaleNormal="71" workbookViewId="0">
      <selection activeCell="A2" sqref="A2"/>
    </sheetView>
  </sheetViews>
  <sheetFormatPr defaultColWidth="9.140625" defaultRowHeight="12.75"/>
  <cols>
    <col min="1" max="1" width="10.7109375" style="21" customWidth="1"/>
    <col min="2" max="9" width="9.140625" style="21"/>
    <col min="10" max="10" width="15.42578125" style="21" bestFit="1" customWidth="1"/>
    <col min="11" max="11" width="9.140625" style="21" customWidth="1"/>
    <col min="12" max="12" width="9.140625" style="21"/>
    <col min="13" max="13" width="28.28515625" style="21" bestFit="1" customWidth="1"/>
    <col min="14" max="16384" width="9.140625" style="21"/>
  </cols>
  <sheetData>
    <row r="1" spans="1:14" s="35" customFormat="1" ht="38.1" customHeight="1"/>
    <row r="2" spans="1:14" s="34" customFormat="1"/>
    <row r="3" spans="1:14" s="34" customFormat="1" ht="15">
      <c r="A3" s="39" t="s">
        <v>19</v>
      </c>
      <c r="B3" s="20" t="s">
        <v>177</v>
      </c>
      <c r="E3" s="21"/>
      <c r="F3" s="21"/>
    </row>
    <row r="4" spans="1:14" s="34" customFormat="1">
      <c r="A4" s="39" t="s">
        <v>20</v>
      </c>
      <c r="B4" s="22" t="s">
        <v>2</v>
      </c>
      <c r="E4" s="21"/>
    </row>
    <row r="5" spans="1:14" s="34" customFormat="1">
      <c r="A5" s="39" t="s">
        <v>21</v>
      </c>
      <c r="B5" s="22" t="s">
        <v>1</v>
      </c>
    </row>
    <row r="6" spans="1:14" s="34" customFormat="1">
      <c r="A6" s="40" t="s">
        <v>0</v>
      </c>
    </row>
    <row r="11" spans="1:14">
      <c r="E11" s="23"/>
    </row>
    <row r="12" spans="1:14">
      <c r="F12" s="23"/>
      <c r="G12" s="23"/>
      <c r="H12" s="23"/>
      <c r="I12" s="23"/>
      <c r="J12" s="23"/>
      <c r="K12" s="23"/>
      <c r="L12" s="23"/>
      <c r="M12" s="23"/>
      <c r="N12" s="23"/>
    </row>
    <row r="13" spans="1:14">
      <c r="F13" s="51"/>
      <c r="G13" s="51"/>
      <c r="H13" s="51"/>
      <c r="I13" s="51"/>
      <c r="J13" s="51"/>
      <c r="K13" s="51"/>
      <c r="L13" s="51"/>
      <c r="M13" s="51"/>
      <c r="N13" s="51"/>
    </row>
    <row r="15" spans="1:14">
      <c r="F15" s="51"/>
      <c r="G15" s="51"/>
      <c r="H15" s="51"/>
      <c r="I15" s="51"/>
      <c r="J15" s="51"/>
      <c r="K15" s="51"/>
      <c r="L15" s="51"/>
      <c r="M15" s="51"/>
      <c r="N15" s="51"/>
    </row>
    <row r="16" spans="1:14">
      <c r="F16" s="51"/>
      <c r="G16" s="51"/>
      <c r="H16" s="51"/>
      <c r="I16" s="51"/>
      <c r="J16" s="51"/>
      <c r="K16" s="51"/>
      <c r="L16" s="51"/>
      <c r="M16" s="51"/>
      <c r="N16" s="51"/>
    </row>
    <row r="17" spans="5:14">
      <c r="E17" s="23"/>
    </row>
    <row r="18" spans="5:14">
      <c r="F18" s="23"/>
      <c r="G18" s="23"/>
      <c r="H18" s="23"/>
      <c r="I18" s="23"/>
      <c r="J18" s="23"/>
      <c r="K18" s="23"/>
      <c r="L18" s="23"/>
      <c r="M18" s="23"/>
      <c r="N18" s="23"/>
    </row>
    <row r="19" spans="5:14">
      <c r="F19" s="51"/>
      <c r="G19" s="51"/>
      <c r="H19" s="51"/>
      <c r="I19" s="51"/>
      <c r="J19" s="51"/>
      <c r="K19" s="51"/>
      <c r="L19" s="51"/>
      <c r="M19" s="51"/>
      <c r="N19" s="51"/>
    </row>
    <row r="20" spans="5:14">
      <c r="F20" s="51"/>
      <c r="G20" s="51"/>
      <c r="H20" s="51"/>
      <c r="I20" s="51"/>
      <c r="J20" s="51"/>
      <c r="K20" s="51"/>
      <c r="L20" s="51"/>
      <c r="M20" s="51"/>
      <c r="N20" s="51"/>
    </row>
    <row r="21" spans="5:14">
      <c r="E21" s="23"/>
      <c r="F21" s="53"/>
      <c r="G21" s="53"/>
      <c r="H21" s="53"/>
      <c r="I21" s="53"/>
      <c r="J21" s="53"/>
      <c r="K21" s="53"/>
      <c r="L21" s="53"/>
      <c r="M21" s="53"/>
      <c r="N21" s="53"/>
    </row>
    <row r="22" spans="5:14">
      <c r="J22" s="75" t="s">
        <v>23</v>
      </c>
      <c r="K22" s="75">
        <v>2020</v>
      </c>
      <c r="L22" s="75">
        <v>2025</v>
      </c>
    </row>
    <row r="23" spans="5:14">
      <c r="J23" s="81" t="s">
        <v>6</v>
      </c>
      <c r="K23" s="80">
        <v>1</v>
      </c>
      <c r="L23" s="80">
        <v>1</v>
      </c>
    </row>
    <row r="24" spans="5:14">
      <c r="E24" s="23"/>
      <c r="J24" s="83" t="s">
        <v>29</v>
      </c>
      <c r="K24" s="75">
        <v>2</v>
      </c>
      <c r="L24" s="75">
        <v>4</v>
      </c>
    </row>
    <row r="25" spans="5:14">
      <c r="F25" s="23"/>
      <c r="G25" s="23"/>
      <c r="H25" s="23"/>
      <c r="I25" s="23"/>
      <c r="J25" s="85" t="s">
        <v>8</v>
      </c>
      <c r="K25" s="75">
        <v>3</v>
      </c>
      <c r="L25" s="75">
        <v>2</v>
      </c>
      <c r="M25" s="23"/>
      <c r="N25" s="23"/>
    </row>
    <row r="26" spans="5:14">
      <c r="F26" s="51"/>
      <c r="G26" s="51"/>
      <c r="H26" s="51"/>
      <c r="I26" s="51"/>
      <c r="J26" s="83" t="s">
        <v>24</v>
      </c>
      <c r="K26" s="80">
        <v>4</v>
      </c>
      <c r="L26" s="80">
        <v>6</v>
      </c>
      <c r="M26" s="51"/>
      <c r="N26" s="51"/>
    </row>
    <row r="27" spans="5:14">
      <c r="F27" s="51"/>
      <c r="G27" s="51"/>
      <c r="H27" s="51"/>
      <c r="I27" s="51"/>
      <c r="J27" s="83" t="s">
        <v>25</v>
      </c>
      <c r="K27" s="84">
        <v>5</v>
      </c>
      <c r="L27" s="84">
        <v>8</v>
      </c>
      <c r="M27" s="51"/>
      <c r="N27" s="51"/>
    </row>
    <row r="28" spans="5:14">
      <c r="F28" s="51"/>
      <c r="G28" s="51"/>
      <c r="H28" s="51"/>
      <c r="I28" s="51"/>
      <c r="J28" s="83" t="s">
        <v>84</v>
      </c>
      <c r="K28" s="80">
        <v>6</v>
      </c>
      <c r="L28" s="80">
        <v>2</v>
      </c>
      <c r="M28" s="51"/>
      <c r="N28" s="51"/>
    </row>
    <row r="29" spans="5:14">
      <c r="F29" s="51"/>
      <c r="G29" s="51"/>
      <c r="H29" s="51"/>
      <c r="I29" s="51"/>
      <c r="J29" s="83" t="s">
        <v>83</v>
      </c>
      <c r="K29" s="80">
        <v>7</v>
      </c>
      <c r="L29" s="80">
        <v>10</v>
      </c>
      <c r="M29" s="51"/>
      <c r="N29" s="51"/>
    </row>
    <row r="30" spans="5:14">
      <c r="F30" s="51"/>
      <c r="G30" s="51"/>
      <c r="H30" s="51"/>
      <c r="I30" s="51"/>
      <c r="J30" s="83" t="s">
        <v>14</v>
      </c>
      <c r="K30" s="80">
        <v>7</v>
      </c>
      <c r="L30" s="80">
        <v>6</v>
      </c>
      <c r="M30" s="51"/>
      <c r="N30" s="51"/>
    </row>
    <row r="31" spans="5:14">
      <c r="F31" s="51"/>
      <c r="G31" s="51"/>
      <c r="H31" s="51"/>
      <c r="I31" s="51"/>
      <c r="J31" s="81" t="s">
        <v>26</v>
      </c>
      <c r="K31" s="82">
        <v>9</v>
      </c>
      <c r="L31" s="82">
        <v>8</v>
      </c>
      <c r="M31" s="51"/>
      <c r="N31" s="51"/>
    </row>
    <row r="32" spans="5:14">
      <c r="F32" s="51"/>
      <c r="G32" s="51"/>
      <c r="H32" s="51"/>
      <c r="I32" s="51"/>
      <c r="J32" s="83" t="s">
        <v>28</v>
      </c>
      <c r="K32" s="80">
        <v>10</v>
      </c>
      <c r="L32" s="80">
        <v>5</v>
      </c>
      <c r="M32" s="51"/>
      <c r="N32" s="51"/>
    </row>
    <row r="33" spans="5:14">
      <c r="E33" s="23"/>
      <c r="F33" s="53"/>
      <c r="G33" s="53"/>
      <c r="H33" s="53"/>
      <c r="I33" s="53"/>
      <c r="J33" s="85" t="s">
        <v>9</v>
      </c>
      <c r="K33" s="75">
        <v>11</v>
      </c>
      <c r="L33" s="75">
        <v>11</v>
      </c>
      <c r="M33" s="53"/>
      <c r="N33" s="53"/>
    </row>
    <row r="34" spans="5:14">
      <c r="J34" s="79" t="s">
        <v>147</v>
      </c>
      <c r="K34" s="80">
        <v>12</v>
      </c>
      <c r="L34" s="80">
        <v>16</v>
      </c>
    </row>
    <row r="35" spans="5:14">
      <c r="J35" s="81" t="s">
        <v>27</v>
      </c>
      <c r="K35" s="75">
        <v>13</v>
      </c>
      <c r="L35" s="75">
        <v>12</v>
      </c>
    </row>
    <row r="36" spans="5:14">
      <c r="J36" s="79" t="s">
        <v>55</v>
      </c>
      <c r="K36" s="80">
        <v>14</v>
      </c>
      <c r="L36" s="80">
        <v>13</v>
      </c>
    </row>
    <row r="37" spans="5:14">
      <c r="J37" s="85" t="s">
        <v>11</v>
      </c>
      <c r="K37" s="75">
        <v>15</v>
      </c>
      <c r="L37" s="75">
        <v>15</v>
      </c>
    </row>
    <row r="38" spans="5:14">
      <c r="F38" s="51"/>
      <c r="G38" s="51"/>
      <c r="H38" s="51"/>
      <c r="I38" s="51"/>
      <c r="J38" s="81" t="s">
        <v>39</v>
      </c>
      <c r="K38" s="75">
        <v>16</v>
      </c>
      <c r="L38" s="75">
        <v>13</v>
      </c>
      <c r="M38" s="51"/>
      <c r="N38" s="51"/>
    </row>
    <row r="39" spans="5:14">
      <c r="F39" s="51"/>
      <c r="G39" s="51"/>
      <c r="H39" s="51"/>
      <c r="I39" s="51"/>
      <c r="J39" s="85" t="s">
        <v>7</v>
      </c>
      <c r="K39" s="75">
        <v>17</v>
      </c>
      <c r="L39" s="75">
        <v>19</v>
      </c>
      <c r="M39" s="51"/>
      <c r="N39" s="51"/>
    </row>
    <row r="40" spans="5:14">
      <c r="F40" s="51"/>
      <c r="G40" s="51"/>
      <c r="H40" s="51"/>
      <c r="I40" s="51"/>
      <c r="J40" s="83" t="s">
        <v>32</v>
      </c>
      <c r="K40" s="75">
        <v>18</v>
      </c>
      <c r="L40" s="75">
        <v>20</v>
      </c>
      <c r="M40" s="51"/>
      <c r="N40" s="51"/>
    </row>
    <row r="41" spans="5:14">
      <c r="F41" s="51"/>
      <c r="G41" s="51"/>
      <c r="H41" s="51"/>
      <c r="I41" s="51"/>
      <c r="J41" s="81" t="s">
        <v>58</v>
      </c>
      <c r="K41" s="75">
        <v>19</v>
      </c>
      <c r="L41" s="75">
        <v>23</v>
      </c>
      <c r="M41" s="51"/>
      <c r="N41" s="51"/>
    </row>
    <row r="42" spans="5:14">
      <c r="F42" s="51"/>
      <c r="G42" s="51"/>
      <c r="H42" s="51"/>
      <c r="I42" s="51"/>
      <c r="J42" s="85" t="s">
        <v>12</v>
      </c>
      <c r="K42" s="75">
        <v>20</v>
      </c>
      <c r="L42" s="75">
        <v>21</v>
      </c>
      <c r="M42" s="51"/>
      <c r="N42" s="51"/>
    </row>
    <row r="43" spans="5:14">
      <c r="J43" s="81" t="s">
        <v>57</v>
      </c>
      <c r="K43" s="75">
        <v>21</v>
      </c>
      <c r="L43" s="75">
        <v>22</v>
      </c>
    </row>
    <row r="44" spans="5:14">
      <c r="J44" s="79" t="s">
        <v>81</v>
      </c>
      <c r="K44" s="80">
        <v>22</v>
      </c>
      <c r="L44" s="80">
        <v>24</v>
      </c>
    </row>
    <row r="45" spans="5:14">
      <c r="J45" s="83" t="s">
        <v>10</v>
      </c>
      <c r="K45" s="80">
        <v>22</v>
      </c>
      <c r="L45" s="80">
        <v>18</v>
      </c>
    </row>
    <row r="46" spans="5:14">
      <c r="J46" s="83" t="s">
        <v>59</v>
      </c>
      <c r="K46" s="80">
        <v>24</v>
      </c>
      <c r="L46" s="80">
        <v>17</v>
      </c>
    </row>
    <row r="47" spans="5:14">
      <c r="J47" s="85" t="s">
        <v>82</v>
      </c>
      <c r="K47" s="80">
        <v>25</v>
      </c>
      <c r="L47" s="80">
        <v>24</v>
      </c>
    </row>
    <row r="48" spans="5:14">
      <c r="J48" s="75"/>
      <c r="K48" s="75"/>
      <c r="L48" s="75"/>
    </row>
    <row r="53" spans="10:13">
      <c r="J53" s="78">
        <v>2020</v>
      </c>
      <c r="K53" s="78"/>
      <c r="L53" s="78">
        <v>2025</v>
      </c>
      <c r="M53" s="78"/>
    </row>
    <row r="54" spans="10:13" ht="25.5">
      <c r="J54" s="63" t="s">
        <v>183</v>
      </c>
      <c r="K54" s="63" t="s">
        <v>184</v>
      </c>
      <c r="L54" s="63" t="s">
        <v>183</v>
      </c>
      <c r="M54" s="63" t="s">
        <v>184</v>
      </c>
    </row>
    <row r="55" spans="10:13">
      <c r="J55" s="74">
        <v>85.7</v>
      </c>
      <c r="K55" s="74"/>
      <c r="L55" s="74">
        <f>85.7+0.8</f>
        <v>86.5</v>
      </c>
      <c r="M55" s="74"/>
    </row>
    <row r="56" spans="10:13">
      <c r="J56" s="74">
        <v>88.3</v>
      </c>
      <c r="K56" s="74"/>
      <c r="L56" s="74">
        <f>88.3+0.6</f>
        <v>88.899999999999991</v>
      </c>
      <c r="M56" s="74"/>
    </row>
    <row r="57" spans="10:13">
      <c r="J57" s="74">
        <v>88.8</v>
      </c>
      <c r="K57" s="74"/>
      <c r="L57" s="74">
        <f>88.8+0.7</f>
        <v>89.5</v>
      </c>
      <c r="M57" s="74"/>
    </row>
    <row r="58" spans="10:13">
      <c r="J58" s="74">
        <v>82</v>
      </c>
      <c r="K58" s="74"/>
      <c r="L58" s="74">
        <f>J58+1.1</f>
        <v>83.1</v>
      </c>
      <c r="M58" s="74"/>
    </row>
    <row r="59" spans="10:13">
      <c r="J59" s="74">
        <v>89</v>
      </c>
      <c r="K59" s="74"/>
      <c r="L59" s="74">
        <f>J59+0.6</f>
        <v>89.6</v>
      </c>
      <c r="M59" s="74"/>
    </row>
    <row r="60" spans="10:13">
      <c r="J60" s="74">
        <v>72.5</v>
      </c>
      <c r="K60" s="74"/>
      <c r="L60" s="74">
        <v>80.099999999999994</v>
      </c>
      <c r="M60" s="74"/>
    </row>
    <row r="61" spans="10:13">
      <c r="J61" s="74">
        <v>75.5</v>
      </c>
      <c r="K61" s="74"/>
      <c r="L61" s="74">
        <f>J61-1.2</f>
        <v>74.3</v>
      </c>
      <c r="M61" s="74"/>
    </row>
    <row r="62" spans="10:13">
      <c r="J62" s="74">
        <v>88</v>
      </c>
      <c r="K62" s="74"/>
      <c r="L62" s="74">
        <v>100</v>
      </c>
      <c r="M62" s="74"/>
    </row>
    <row r="63" spans="10:13">
      <c r="J63" s="74">
        <v>73.3</v>
      </c>
      <c r="K63" s="74"/>
      <c r="L63" s="74">
        <f>73.3+1.6</f>
        <v>74.899999999999991</v>
      </c>
      <c r="M63" s="74"/>
    </row>
    <row r="64" spans="10:13">
      <c r="J64" s="74">
        <v>63.2</v>
      </c>
      <c r="K64" s="74"/>
      <c r="L64" s="74">
        <f>J64+22.8</f>
        <v>86</v>
      </c>
      <c r="M64" s="74"/>
    </row>
    <row r="65" spans="10:13">
      <c r="J65" s="74">
        <v>60.5</v>
      </c>
      <c r="K65" s="74"/>
      <c r="L65" s="74">
        <f>J65+7</f>
        <v>67.5</v>
      </c>
      <c r="M65" s="74"/>
    </row>
    <row r="66" spans="10:13">
      <c r="J66" s="74">
        <f>72.9</f>
        <v>72.900000000000006</v>
      </c>
      <c r="K66" s="74"/>
      <c r="L66" s="74">
        <f>J66+19.3</f>
        <v>92.2</v>
      </c>
      <c r="M66" s="74"/>
    </row>
    <row r="67" spans="10:13">
      <c r="J67" s="74">
        <f>67.5</f>
        <v>67.5</v>
      </c>
      <c r="K67" s="74"/>
      <c r="L67" s="74">
        <f>J67+1.7</f>
        <v>69.2</v>
      </c>
      <c r="M67" s="74"/>
    </row>
    <row r="68" spans="10:13">
      <c r="J68" s="74">
        <f>49.1</f>
        <v>49.1</v>
      </c>
      <c r="K68" s="74"/>
      <c r="L68" s="74">
        <f>J68+5.9</f>
        <v>55</v>
      </c>
      <c r="M68" s="74"/>
    </row>
    <row r="69" spans="10:13">
      <c r="J69" s="74">
        <f>78.1</f>
        <v>78.099999999999994</v>
      </c>
      <c r="K69" s="74"/>
      <c r="L69" s="74">
        <f>J69+16.9</f>
        <v>95</v>
      </c>
      <c r="M69" s="74"/>
    </row>
    <row r="70" spans="10:13">
      <c r="J70" s="74">
        <f>65.3</f>
        <v>65.3</v>
      </c>
      <c r="K70" s="74"/>
      <c r="L70" s="74">
        <f>J70+21</f>
        <v>86.3</v>
      </c>
      <c r="M70" s="74"/>
    </row>
    <row r="71" spans="10:13">
      <c r="J71" s="74">
        <v>19</v>
      </c>
      <c r="K71" s="74"/>
      <c r="L71" s="74">
        <f>J71-0.8</f>
        <v>18.2</v>
      </c>
      <c r="M71" s="74"/>
    </row>
    <row r="72" spans="10:13">
      <c r="J72" s="74">
        <v>76.599999999999994</v>
      </c>
      <c r="K72" s="74"/>
      <c r="L72" s="74">
        <f>76.6-1.2</f>
        <v>75.399999999999991</v>
      </c>
      <c r="M72" s="74"/>
    </row>
    <row r="73" spans="10:13">
      <c r="J73" s="74">
        <v>62.6</v>
      </c>
      <c r="K73" s="74"/>
      <c r="L73" s="74">
        <f>J73+0.4</f>
        <v>63</v>
      </c>
      <c r="M73" s="74"/>
    </row>
    <row r="74" spans="10:13">
      <c r="J74" s="74">
        <f>33.7</f>
        <v>33.700000000000003</v>
      </c>
      <c r="K74" s="74"/>
      <c r="L74" s="74">
        <f>J74-0.5</f>
        <v>33.200000000000003</v>
      </c>
      <c r="M74" s="74"/>
    </row>
    <row r="75" spans="10:13">
      <c r="J75" s="74">
        <f>56.3</f>
        <v>56.3</v>
      </c>
      <c r="K75" s="74"/>
      <c r="L75" s="74">
        <f>J75-2.1</f>
        <v>54.199999999999996</v>
      </c>
      <c r="M75" s="74"/>
    </row>
    <row r="76" spans="10:13">
      <c r="J76" s="74">
        <v>56.6</v>
      </c>
      <c r="K76" s="74"/>
      <c r="L76" s="74">
        <f>J76-3.4</f>
        <v>53.2</v>
      </c>
      <c r="M76" s="74"/>
    </row>
    <row r="77" spans="10:13">
      <c r="J77" s="74">
        <v>53</v>
      </c>
      <c r="K77" s="74"/>
      <c r="L77" s="74">
        <f>J77-0.5</f>
        <v>52.5</v>
      </c>
      <c r="M77" s="74"/>
    </row>
    <row r="78" spans="10:13">
      <c r="J78" s="74">
        <f>33.3</f>
        <v>33.299999999999997</v>
      </c>
      <c r="K78" s="74"/>
      <c r="L78" s="74">
        <f>J78+1.7</f>
        <v>35</v>
      </c>
      <c r="M78" s="74"/>
    </row>
    <row r="79" spans="10:13">
      <c r="J79" s="74">
        <v>83.7</v>
      </c>
      <c r="K79" s="74"/>
      <c r="L79" s="74">
        <v>100</v>
      </c>
      <c r="M79" s="74"/>
    </row>
  </sheetData>
  <sheetProtection formatCells="0"/>
  <autoFilter ref="J22:L47" xr:uid="{00000000-0009-0000-0000-000006000000}">
    <sortState xmlns:xlrd2="http://schemas.microsoft.com/office/spreadsheetml/2017/richdata2" ref="J23:L47">
      <sortCondition ref="K22:K47"/>
    </sortState>
  </autoFilter>
  <phoneticPr fontId="57" type="noConversion"/>
  <hyperlinks>
    <hyperlink ref="A6" location="rng_Cover_Copyright" display="Subject to terms and conditions" xr:uid="{00000000-0004-0000-0600-00000000000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6C703-6510-45E6-8D9E-3146DB6FB6BA}">
  <sheetPr codeName="Sheet13"/>
  <dimension ref="A1:Z40"/>
  <sheetViews>
    <sheetView showGridLines="0" zoomScale="175" zoomScaleNormal="175" workbookViewId="0">
      <selection activeCell="A2" sqref="A2"/>
    </sheetView>
  </sheetViews>
  <sheetFormatPr defaultColWidth="9.140625" defaultRowHeight="12.75"/>
  <cols>
    <col min="1" max="1" width="10.7109375" style="21" customWidth="1"/>
    <col min="2" max="3" width="14.85546875" style="21" customWidth="1"/>
    <col min="4" max="26" width="13.7109375" style="21" customWidth="1"/>
    <col min="27" max="29" width="9.140625" style="21"/>
    <col min="30" max="31" width="0" style="21" hidden="1" customWidth="1"/>
    <col min="32" max="32" width="9.140625" style="21"/>
    <col min="33" max="34" width="0" style="21" hidden="1" customWidth="1"/>
    <col min="35" max="16384" width="9.140625" style="21"/>
  </cols>
  <sheetData>
    <row r="1" spans="1:26" s="24" customFormat="1" ht="38.1" customHeight="1">
      <c r="K1" s="24" t="s">
        <v>435</v>
      </c>
      <c r="L1" s="24" t="s">
        <v>435</v>
      </c>
    </row>
    <row r="2" spans="1:26" s="34" customFormat="1"/>
    <row r="3" spans="1:26" s="34" customFormat="1" ht="15">
      <c r="A3" s="39" t="s">
        <v>19</v>
      </c>
      <c r="B3" s="20" t="s">
        <v>436</v>
      </c>
      <c r="C3" s="20"/>
      <c r="G3" s="21"/>
      <c r="H3" s="21"/>
      <c r="I3" s="21"/>
      <c r="J3" s="21"/>
      <c r="K3" s="21"/>
      <c r="L3" s="21"/>
    </row>
    <row r="4" spans="1:26" s="34" customFormat="1">
      <c r="A4" s="39" t="s">
        <v>20</v>
      </c>
      <c r="B4" s="22" t="s">
        <v>241</v>
      </c>
      <c r="C4" s="22"/>
      <c r="G4" s="21"/>
      <c r="H4" s="21"/>
      <c r="I4" s="21"/>
      <c r="J4" s="21"/>
    </row>
    <row r="5" spans="1:26" s="34" customFormat="1">
      <c r="A5" s="39" t="s">
        <v>21</v>
      </c>
      <c r="B5" s="22" t="s">
        <v>67</v>
      </c>
      <c r="C5" s="22"/>
    </row>
    <row r="6" spans="1:26" s="34" customFormat="1">
      <c r="A6" s="40" t="s">
        <v>0</v>
      </c>
      <c r="G6" s="431">
        <f>VLOOKUP(G7,RawData!$C$28:$D$32,2,FALSE)</f>
        <v>0.2</v>
      </c>
      <c r="H6" s="431">
        <f>VLOOKUP(H7,RawData!$C$28:$D$32,2,FALSE)</f>
        <v>0.2</v>
      </c>
      <c r="I6" s="431">
        <f>VLOOKUP(I7,RawData!$C$28:$D$32,2,FALSE)</f>
        <v>0.2</v>
      </c>
      <c r="J6" s="431">
        <f>VLOOKUP(J7,RawData!$C$28:$D$32,2,FALSE)</f>
        <v>0.2</v>
      </c>
      <c r="K6" s="431">
        <f>VLOOKUP(K7,RawData!$C$28:$D$32,2,FALSE)</f>
        <v>0.2</v>
      </c>
      <c r="L6" s="431">
        <f>VLOOKUP(L7,RawData!$C$28:$D$32,2,FALSE)</f>
        <v>0.2</v>
      </c>
      <c r="M6" s="431">
        <f>VLOOKUP(M7,RawData!$C$28:$D$32,2,FALSE)</f>
        <v>0.2</v>
      </c>
      <c r="N6" s="431">
        <f>VLOOKUP(N7,RawData!$C$28:$D$32,2,FALSE)</f>
        <v>0.2</v>
      </c>
      <c r="O6" s="431">
        <f>VLOOKUP(O7,RawData!$C$28:$D$32,2,FALSE)</f>
        <v>0.2</v>
      </c>
      <c r="P6" s="431">
        <f>VLOOKUP(P7,RawData!$C$28:$D$32,2,FALSE)</f>
        <v>0.2</v>
      </c>
      <c r="Q6" s="431">
        <f>VLOOKUP(Q7,RawData!$C$28:$D$32,2,FALSE)</f>
        <v>0.2</v>
      </c>
      <c r="R6" s="431">
        <f>VLOOKUP(R7,RawData!$C$28:$D$32,2,FALSE)</f>
        <v>0.2</v>
      </c>
      <c r="S6" s="431">
        <f>VLOOKUP(S7,RawData!$C$28:$D$32,2,FALSE)</f>
        <v>0.2</v>
      </c>
      <c r="T6" s="431">
        <f>VLOOKUP(T7,RawData!$C$28:$D$32,2,FALSE)</f>
        <v>0.2</v>
      </c>
      <c r="U6" s="431">
        <f>VLOOKUP(U7,RawData!$C$28:$D$32,2,FALSE)</f>
        <v>0.2</v>
      </c>
      <c r="V6" s="431">
        <f>VLOOKUP(V7,RawData!$C$28:$D$32,2,FALSE)</f>
        <v>0.2</v>
      </c>
      <c r="W6" s="431">
        <f>VLOOKUP(W7,RawData!$C$28:$D$32,2,FALSE)</f>
        <v>0.2</v>
      </c>
      <c r="X6" s="431">
        <f>VLOOKUP(X7,RawData!$C$28:$D$32,2,FALSE)</f>
        <v>0.2</v>
      </c>
      <c r="Y6" s="431">
        <f>VLOOKUP(Y7,RawData!$C$28:$D$32,2,FALSE)</f>
        <v>0.2</v>
      </c>
      <c r="Z6" s="431">
        <f>VLOOKUP(Z7,RawData!$C$28:$D$32,2,FALSE)</f>
        <v>0.2</v>
      </c>
    </row>
    <row r="7" spans="1:26">
      <c r="C7" s="21" t="str">
        <f t="shared" ref="C7:Y7" si="0">IF(C8="",B7,C8)</f>
        <v>Rank</v>
      </c>
      <c r="D7" s="21" t="str">
        <f t="shared" si="0"/>
        <v>Rank</v>
      </c>
      <c r="E7" s="21" t="str">
        <f t="shared" si="0"/>
        <v>Rank</v>
      </c>
      <c r="F7" s="21" t="str">
        <f t="shared" si="0"/>
        <v>Rank</v>
      </c>
      <c r="G7" s="21" t="str">
        <f t="shared" si="0"/>
        <v>Raw Materials</v>
      </c>
      <c r="H7" s="21" t="str">
        <f t="shared" si="0"/>
        <v>Raw Materials</v>
      </c>
      <c r="I7" s="21" t="str">
        <f t="shared" si="0"/>
        <v>Raw Materials</v>
      </c>
      <c r="J7" s="21" t="str">
        <f t="shared" si="0"/>
        <v>Raw Materials</v>
      </c>
      <c r="K7" s="21" t="str">
        <f t="shared" si="0"/>
        <v>Battery Manufacturing</v>
      </c>
      <c r="L7" s="21" t="str">
        <f t="shared" si="0"/>
        <v>Battery Manufacturing</v>
      </c>
      <c r="M7" s="21" t="str">
        <f t="shared" si="0"/>
        <v>Battery Manufacturing</v>
      </c>
      <c r="N7" s="21" t="str">
        <f t="shared" si="0"/>
        <v>Battery Manufacturing</v>
      </c>
      <c r="O7" s="21" t="str">
        <f t="shared" si="0"/>
        <v>Downstream Demand</v>
      </c>
      <c r="P7" s="21" t="str">
        <f t="shared" si="0"/>
        <v>Downstream Demand</v>
      </c>
      <c r="Q7" s="21" t="str">
        <f t="shared" si="0"/>
        <v>Downstream Demand</v>
      </c>
      <c r="R7" s="21" t="str">
        <f t="shared" si="0"/>
        <v>Downstream Demand</v>
      </c>
      <c r="S7" s="21" t="str">
        <f t="shared" si="0"/>
        <v>ESG</v>
      </c>
      <c r="T7" s="21" t="str">
        <f t="shared" si="0"/>
        <v>ESG</v>
      </c>
      <c r="U7" s="21" t="str">
        <f t="shared" si="0"/>
        <v>ESG</v>
      </c>
      <c r="V7" s="21" t="str">
        <f t="shared" si="0"/>
        <v>ESG</v>
      </c>
      <c r="W7" s="21" t="str">
        <f t="shared" si="0"/>
        <v>III</v>
      </c>
      <c r="X7" s="21" t="str">
        <f t="shared" si="0"/>
        <v>III</v>
      </c>
      <c r="Y7" s="21" t="str">
        <f t="shared" si="0"/>
        <v>III</v>
      </c>
      <c r="Z7" s="21" t="str">
        <f>IF(Z8="",Y7,Z8)</f>
        <v>III</v>
      </c>
    </row>
    <row r="8" spans="1:26">
      <c r="B8" s="747" t="s">
        <v>23</v>
      </c>
      <c r="C8" s="750" t="s">
        <v>241</v>
      </c>
      <c r="D8" s="751"/>
      <c r="E8" s="751"/>
      <c r="F8" s="752"/>
      <c r="G8" s="746" t="s">
        <v>326</v>
      </c>
      <c r="H8" s="746"/>
      <c r="I8" s="746"/>
      <c r="J8" s="746"/>
      <c r="K8" s="746" t="s">
        <v>351</v>
      </c>
      <c r="L8" s="746"/>
      <c r="M8" s="746"/>
      <c r="N8" s="746"/>
      <c r="O8" s="746" t="s">
        <v>398</v>
      </c>
      <c r="P8" s="746"/>
      <c r="Q8" s="746"/>
      <c r="R8" s="746"/>
      <c r="S8" s="746" t="s">
        <v>406</v>
      </c>
      <c r="T8" s="746"/>
      <c r="U8" s="746"/>
      <c r="V8" s="746"/>
      <c r="W8" s="746" t="s">
        <v>325</v>
      </c>
      <c r="X8" s="746"/>
      <c r="Y8" s="746"/>
      <c r="Z8" s="746"/>
    </row>
    <row r="9" spans="1:26" ht="12.6" customHeight="1">
      <c r="B9" s="748"/>
      <c r="C9" s="432">
        <v>2022</v>
      </c>
      <c r="D9" s="432">
        <v>2022</v>
      </c>
      <c r="E9" s="432">
        <v>2023</v>
      </c>
      <c r="F9" s="432">
        <v>2023</v>
      </c>
      <c r="G9" s="432">
        <v>2022</v>
      </c>
      <c r="H9" s="432">
        <v>2022</v>
      </c>
      <c r="I9" s="432">
        <v>2023</v>
      </c>
      <c r="J9" s="432">
        <v>2023</v>
      </c>
      <c r="K9" s="432">
        <v>2022</v>
      </c>
      <c r="L9" s="432">
        <v>2022</v>
      </c>
      <c r="M9" s="432">
        <v>2023</v>
      </c>
      <c r="N9" s="432">
        <v>2023</v>
      </c>
      <c r="O9" s="432">
        <v>2022</v>
      </c>
      <c r="P9" s="432">
        <v>2022</v>
      </c>
      <c r="Q9" s="432">
        <v>2023</v>
      </c>
      <c r="R9" s="432">
        <v>2023</v>
      </c>
      <c r="S9" s="432">
        <v>2022</v>
      </c>
      <c r="T9" s="432">
        <v>2022</v>
      </c>
      <c r="U9" s="432">
        <v>2023</v>
      </c>
      <c r="V9" s="432">
        <v>2023</v>
      </c>
      <c r="W9" s="432">
        <v>2022</v>
      </c>
      <c r="X9" s="432">
        <v>2022</v>
      </c>
      <c r="Y9" s="432">
        <v>2023</v>
      </c>
      <c r="Z9" s="432">
        <v>2023</v>
      </c>
    </row>
    <row r="10" spans="1:26" ht="12.95" customHeight="1">
      <c r="B10" s="749"/>
      <c r="C10" s="433" t="s">
        <v>337</v>
      </c>
      <c r="D10" s="433" t="s">
        <v>234</v>
      </c>
      <c r="E10" s="433" t="s">
        <v>337</v>
      </c>
      <c r="F10" s="433" t="s">
        <v>234</v>
      </c>
      <c r="G10" s="433" t="s">
        <v>337</v>
      </c>
      <c r="H10" s="433" t="s">
        <v>234</v>
      </c>
      <c r="I10" s="433" t="s">
        <v>337</v>
      </c>
      <c r="J10" s="433" t="s">
        <v>234</v>
      </c>
      <c r="K10" s="433" t="s">
        <v>337</v>
      </c>
      <c r="L10" s="433" t="s">
        <v>234</v>
      </c>
      <c r="M10" s="433" t="s">
        <v>337</v>
      </c>
      <c r="N10" s="433" t="s">
        <v>234</v>
      </c>
      <c r="O10" s="433" t="s">
        <v>337</v>
      </c>
      <c r="P10" s="433" t="s">
        <v>234</v>
      </c>
      <c r="Q10" s="433" t="s">
        <v>337</v>
      </c>
      <c r="R10" s="433" t="s">
        <v>234</v>
      </c>
      <c r="S10" s="433" t="s">
        <v>337</v>
      </c>
      <c r="T10" s="433" t="s">
        <v>234</v>
      </c>
      <c r="U10" s="433" t="s">
        <v>337</v>
      </c>
      <c r="V10" s="433" t="s">
        <v>234</v>
      </c>
      <c r="W10" s="433" t="s">
        <v>337</v>
      </c>
      <c r="X10" s="433" t="s">
        <v>234</v>
      </c>
      <c r="Y10" s="433" t="s">
        <v>337</v>
      </c>
      <c r="Z10" s="433" t="s">
        <v>234</v>
      </c>
    </row>
    <row r="11" spans="1:26">
      <c r="A11" s="21">
        <v>18</v>
      </c>
      <c r="B11" s="434" t="s">
        <v>338</v>
      </c>
      <c r="C11" s="435" cm="1">
        <f t="array" aca="1" ref="C11" ca="1">SUMPRODUCT(--($G$10:$Z$10="Ranking"),--($G$9:$Z$9=C$9),$G11:$Z11,$G$6:$Z$6)</f>
        <v>14.600000000000001</v>
      </c>
      <c r="D11" s="436">
        <f ca="1">RANK(C11,C$11:C$40,1)</f>
        <v>13</v>
      </c>
      <c r="E11" s="437" cm="1">
        <f t="array" aca="1" ref="E11" ca="1">SUMPRODUCT(--($G$10:$Z$10="Ranking"),--($G$9:$Z$9=E$9),$G11:$Z11,$G$6:$Z$6)</f>
        <v>16.399999999999999</v>
      </c>
      <c r="F11" s="437">
        <f ca="1">RANK(E11,E$11:E$40,1)</f>
        <v>18</v>
      </c>
      <c r="G11" s="435">
        <f ca="1">VLOOKUP($B11,RawMaterials!$C$13:$DN$45,COLUMN(RawMaterials!DJ$12)-2,FALSE)</f>
        <v>3.2</v>
      </c>
      <c r="H11" s="436">
        <f>VLOOKUP($B11,RawMaterials!$C$13:$DN$45,COLUMN(RawMaterials!DK$12)-2,FALSE)</f>
        <v>23</v>
      </c>
      <c r="I11" s="438">
        <f ca="1">VLOOKUP($B11,RawMaterials!$C$13:$DN$45,COLUMN(RawMaterials!DL$12)-2,FALSE)</f>
        <v>3.2</v>
      </c>
      <c r="J11" s="437">
        <f ca="1">VLOOKUP($B11,RawMaterials!$C$13:$DN$45,COLUMN(RawMaterials!DM$12)-2,FALSE)</f>
        <v>20</v>
      </c>
      <c r="K11" s="435">
        <f ca="1">VLOOKUP($B11,BatteryManufacturing!$C$16:$AY$45,COLUMN(BatteryManufacturing!AU$15)-2,FALSE)</f>
        <v>1.2859999999999998</v>
      </c>
      <c r="L11" s="436">
        <f>VLOOKUP($B11,BatteryManufacturing!$C$16:$AY$45,COLUMN(BatteryManufacturing!AV$15)-2,FALSE)</f>
        <v>10</v>
      </c>
      <c r="M11" s="438">
        <f ca="1">VLOOKUP($B11,BatteryManufacturing!$C$16:$AY$45,COLUMN(BatteryManufacturing!AW$15)-2,FALSE)</f>
        <v>1.1429999999999998</v>
      </c>
      <c r="N11" s="437">
        <f ca="1">VLOOKUP($B11,BatteryManufacturing!$C$16:$AY$45,COLUMN(BatteryManufacturing!AX$15)-2,FALSE)</f>
        <v>18</v>
      </c>
      <c r="O11" s="436">
        <f ca="1">VLOOKUP($B11,DownstreamDemand!$C$12:$AJ$41,COLUMN(DownstreamDemand!AF$11)-2,FALSE)</f>
        <v>11</v>
      </c>
      <c r="P11" s="436">
        <f ca="1">VLOOKUP($B11,DownstreamDemand!$C$12:$AJ$41,COLUMN(DownstreamDemand!AG$11)-2,FALSE)</f>
        <v>18</v>
      </c>
      <c r="Q11" s="437">
        <f ca="1">VLOOKUP($B11,DownstreamDemand!$C$12:$AJ$41,COLUMN(DownstreamDemand!AH$11)-2,FALSE)</f>
        <v>11.5</v>
      </c>
      <c r="R11" s="437">
        <f ca="1">VLOOKUP($B11,DownstreamDemand!$C$12:$AJ$41,COLUMN(DownstreamDemand!AI$11)-2,FALSE)</f>
        <v>20</v>
      </c>
      <c r="S11" s="439">
        <f ca="1">VLOOKUP($B11,ESG!$C$13:$BJ$42,COLUMN(ESG!BD$12)-2,FALSE)</f>
        <v>11.722222222222221</v>
      </c>
      <c r="T11" s="436">
        <f ca="1">VLOOKUP($B11,ESG!$C$13:$BJ$42,COLUMN(ESG!BE$12)-2,FALSE)</f>
        <v>11</v>
      </c>
      <c r="U11" s="440">
        <f ca="1">VLOOKUP($B11,ESG!$C$13:$BJ$42,COLUMN(ESG!BF$12)-2,FALSE)</f>
        <v>13.222999999999999</v>
      </c>
      <c r="V11" s="437">
        <f ca="1">VLOOKUP($B11,ESG!$C$13:$BJ$42,COLUMN(ESG!BG$12)-2,FALSE)</f>
        <v>12</v>
      </c>
      <c r="W11" s="439">
        <f ca="1">VLOOKUP($B11,III!$C$13:$BC$42,COLUMN(III!AZ$12)-2,FALSE)</f>
        <v>12.334</v>
      </c>
      <c r="X11" s="436">
        <f ca="1">VLOOKUP($B11,III!$C$13:$BC$42,COLUMN(III!BA$12)-2,FALSE)</f>
        <v>11</v>
      </c>
      <c r="Y11" s="440">
        <f ca="1">VLOOKUP($B11,III!$C$13:$BC$42,COLUMN(III!BB$12)-2,FALSE)</f>
        <v>13.917</v>
      </c>
      <c r="Z11" s="437">
        <f ca="1">VLOOKUP($B11,III!$C$13:$BC$42,COLUMN(III!BC$12)-2,FALSE)</f>
        <v>12</v>
      </c>
    </row>
    <row r="12" spans="1:26">
      <c r="A12" s="21">
        <v>5</v>
      </c>
      <c r="B12" s="434" t="s">
        <v>83</v>
      </c>
      <c r="C12" s="435" cm="1">
        <f t="array" aca="1" ref="C12" ca="1">SUMPRODUCT(--($G$10:$Z$10="Ranking"),--($G$9:$Z$9=C$9),$G12:$Z12,$G$6:$Z$6)</f>
        <v>7.6000000000000005</v>
      </c>
      <c r="D12" s="436">
        <f t="shared" ref="D12:D40" ca="1" si="1">RANK(C12,C$11:C$40,1)</f>
        <v>4</v>
      </c>
      <c r="E12" s="437" cm="1">
        <f t="array" aca="1" ref="E12" ca="1">SUMPRODUCT(--($G$10:$Z$10="Ranking"),--($G$9:$Z$9=E$9),$G12:$Z12,$G$6:$Z$6)</f>
        <v>8</v>
      </c>
      <c r="F12" s="437">
        <f t="shared" ref="F12:F40" ca="1" si="2">RANK(E12,E$11:E$40,1)</f>
        <v>5</v>
      </c>
      <c r="G12" s="435">
        <f ca="1">VLOOKUP($B12,RawMaterials!$C$13:$DN$45,COLUMN(RawMaterials!DJ$12)-2,FALSE)</f>
        <v>5.2</v>
      </c>
      <c r="H12" s="436">
        <f>VLOOKUP($B12,RawMaterials!$C$13:$DN$45,COLUMN(RawMaterials!DK$12)-2,FALSE)</f>
        <v>9</v>
      </c>
      <c r="I12" s="438">
        <f ca="1">VLOOKUP($B12,RawMaterials!$C$13:$DN$45,COLUMN(RawMaterials!DL$12)-2,FALSE)</f>
        <v>5.8</v>
      </c>
      <c r="J12" s="437">
        <f ca="1">VLOOKUP($B12,RawMaterials!$C$13:$DN$45,COLUMN(RawMaterials!DM$12)-2,FALSE)</f>
        <v>7</v>
      </c>
      <c r="K12" s="435">
        <f ca="1">VLOOKUP($B12,BatteryManufacturing!$C$16:$AY$45,COLUMN(BatteryManufacturing!AU$15)-2,FALSE)</f>
        <v>1</v>
      </c>
      <c r="L12" s="436">
        <f>VLOOKUP($B12,BatteryManufacturing!$C$16:$AY$45,COLUMN(BatteryManufacturing!AV$15)-2,FALSE)</f>
        <v>15</v>
      </c>
      <c r="M12" s="438">
        <f ca="1">VLOOKUP($B12,BatteryManufacturing!$C$16:$AY$45,COLUMN(BatteryManufacturing!AW$15)-2,FALSE)</f>
        <v>1.1429999999999998</v>
      </c>
      <c r="N12" s="437">
        <f ca="1">VLOOKUP($B12,BatteryManufacturing!$C$16:$AY$45,COLUMN(BatteryManufacturing!AX$15)-2,FALSE)</f>
        <v>18</v>
      </c>
      <c r="O12" s="436">
        <f ca="1">VLOOKUP($B12,DownstreamDemand!$C$12:$AJ$41,COLUMN(DownstreamDemand!AF$11)-2,FALSE)</f>
        <v>7.5</v>
      </c>
      <c r="P12" s="436">
        <f ca="1">VLOOKUP($B12,DownstreamDemand!$C$12:$AJ$41,COLUMN(DownstreamDemand!AG$11)-2,FALSE)</f>
        <v>11</v>
      </c>
      <c r="Q12" s="437">
        <f ca="1">VLOOKUP($B12,DownstreamDemand!$C$12:$AJ$41,COLUMN(DownstreamDemand!AH$11)-2,FALSE)</f>
        <v>8</v>
      </c>
      <c r="R12" s="437">
        <f ca="1">VLOOKUP($B12,DownstreamDemand!$C$12:$AJ$41,COLUMN(DownstreamDemand!AI$11)-2,FALSE)</f>
        <v>12</v>
      </c>
      <c r="S12" s="439">
        <f ca="1">VLOOKUP($B12,ESG!$C$13:$BJ$42,COLUMN(ESG!BD$12)-2,FALSE)</f>
        <v>3.8333333333333335</v>
      </c>
      <c r="T12" s="436">
        <f ca="1">VLOOKUP($B12,ESG!$C$13:$BJ$42,COLUMN(ESG!BE$12)-2,FALSE)</f>
        <v>2</v>
      </c>
      <c r="U12" s="440">
        <f ca="1">VLOOKUP($B12,ESG!$C$13:$BJ$42,COLUMN(ESG!BF$12)-2,FALSE)</f>
        <v>4.2780000000000005</v>
      </c>
      <c r="V12" s="437">
        <f ca="1">VLOOKUP($B12,ESG!$C$13:$BJ$42,COLUMN(ESG!BG$12)-2,FALSE)</f>
        <v>2</v>
      </c>
      <c r="W12" s="439">
        <f ca="1">VLOOKUP($B12,III!$C$13:$BC$42,COLUMN(III!AZ$12)-2,FALSE)</f>
        <v>6.056</v>
      </c>
      <c r="X12" s="436">
        <f ca="1">VLOOKUP($B12,III!$C$13:$BC$42,COLUMN(III!BA$12)-2,FALSE)</f>
        <v>1</v>
      </c>
      <c r="Y12" s="440">
        <f ca="1">VLOOKUP($B12,III!$C$13:$BC$42,COLUMN(III!BB$12)-2,FALSE)</f>
        <v>7.0840000000000005</v>
      </c>
      <c r="Z12" s="437">
        <f ca="1">VLOOKUP($B12,III!$C$13:$BC$42,COLUMN(III!BC$12)-2,FALSE)</f>
        <v>1</v>
      </c>
    </row>
    <row r="13" spans="1:26">
      <c r="A13" s="21">
        <v>11</v>
      </c>
      <c r="B13" s="434" t="s">
        <v>26</v>
      </c>
      <c r="C13" s="435" cm="1">
        <f t="array" aca="1" ref="C13" ca="1">SUMPRODUCT(--($G$10:$Z$10="Ranking"),--($G$9:$Z$9=C$9),$G13:$Z13,$G$6:$Z$6)</f>
        <v>10.8</v>
      </c>
      <c r="D13" s="436">
        <f t="shared" ca="1" si="1"/>
        <v>11</v>
      </c>
      <c r="E13" s="437" cm="1">
        <f t="array" aca="1" ref="E13" ca="1">SUMPRODUCT(--($G$10:$Z$10="Ranking"),--($G$9:$Z$9=E$9),$G13:$Z13,$G$6:$Z$6)</f>
        <v>10.4</v>
      </c>
      <c r="F13" s="437">
        <f t="shared" ca="1" si="2"/>
        <v>10</v>
      </c>
      <c r="G13" s="435">
        <f ca="1">VLOOKUP($B13,RawMaterials!$C$13:$DN$45,COLUMN(RawMaterials!DJ$12)-2,FALSE)</f>
        <v>3.2</v>
      </c>
      <c r="H13" s="436">
        <f>VLOOKUP($B13,RawMaterials!$C$13:$DN$45,COLUMN(RawMaterials!DK$12)-2,FALSE)</f>
        <v>24</v>
      </c>
      <c r="I13" s="438">
        <f ca="1">VLOOKUP($B13,RawMaterials!$C$13:$DN$45,COLUMN(RawMaterials!DL$12)-2,FALSE)</f>
        <v>2.8</v>
      </c>
      <c r="J13" s="437">
        <f ca="1">VLOOKUP($B13,RawMaterials!$C$13:$DN$45,COLUMN(RawMaterials!DM$12)-2,FALSE)</f>
        <v>24</v>
      </c>
      <c r="K13" s="435">
        <f ca="1">VLOOKUP($B13,BatteryManufacturing!$C$16:$AY$45,COLUMN(BatteryManufacturing!AU$15)-2,FALSE)</f>
        <v>1.1429999999999998</v>
      </c>
      <c r="L13" s="436">
        <f>VLOOKUP($B13,BatteryManufacturing!$C$16:$AY$45,COLUMN(BatteryManufacturing!AV$15)-2,FALSE)</f>
        <v>10</v>
      </c>
      <c r="M13" s="438">
        <f ca="1">VLOOKUP($B13,BatteryManufacturing!$C$16:$AY$45,COLUMN(BatteryManufacturing!AW$15)-2,FALSE)</f>
        <v>1.4289999999999998</v>
      </c>
      <c r="N13" s="437">
        <f ca="1">VLOOKUP($B13,BatteryManufacturing!$C$16:$AY$45,COLUMN(BatteryManufacturing!AX$15)-2,FALSE)</f>
        <v>10</v>
      </c>
      <c r="O13" s="436">
        <f ca="1">VLOOKUP($B13,DownstreamDemand!$C$12:$AJ$41,COLUMN(DownstreamDemand!AF$11)-2,FALSE)</f>
        <v>3.5</v>
      </c>
      <c r="P13" s="436">
        <f ca="1">VLOOKUP($B13,DownstreamDemand!$C$12:$AJ$41,COLUMN(DownstreamDemand!AG$11)-2,FALSE)</f>
        <v>5</v>
      </c>
      <c r="Q13" s="437">
        <f ca="1">VLOOKUP($B13,DownstreamDemand!$C$12:$AJ$41,COLUMN(DownstreamDemand!AH$11)-2,FALSE)</f>
        <v>3.5</v>
      </c>
      <c r="R13" s="437">
        <f ca="1">VLOOKUP($B13,DownstreamDemand!$C$12:$AJ$41,COLUMN(DownstreamDemand!AI$11)-2,FALSE)</f>
        <v>5</v>
      </c>
      <c r="S13" s="439">
        <f ca="1">VLOOKUP($B13,ESG!$C$13:$BJ$42,COLUMN(ESG!BD$12)-2,FALSE)</f>
        <v>7.6111111111111107</v>
      </c>
      <c r="T13" s="436">
        <f ca="1">VLOOKUP($B13,ESG!$C$13:$BJ$42,COLUMN(ESG!BE$12)-2,FALSE)</f>
        <v>5</v>
      </c>
      <c r="U13" s="440">
        <f ca="1">VLOOKUP($B13,ESG!$C$13:$BJ$42,COLUMN(ESG!BF$12)-2,FALSE)</f>
        <v>7.056</v>
      </c>
      <c r="V13" s="437">
        <f ca="1">VLOOKUP($B13,ESG!$C$13:$BJ$42,COLUMN(ESG!BG$12)-2,FALSE)</f>
        <v>5</v>
      </c>
      <c r="W13" s="439">
        <f ca="1">VLOOKUP($B13,III!$C$13:$BC$42,COLUMN(III!AZ$12)-2,FALSE)</f>
        <v>12</v>
      </c>
      <c r="X13" s="436">
        <f ca="1">VLOOKUP($B13,III!$C$13:$BC$42,COLUMN(III!BA$12)-2,FALSE)</f>
        <v>10</v>
      </c>
      <c r="Y13" s="440">
        <f ca="1">VLOOKUP($B13,III!$C$13:$BC$42,COLUMN(III!BB$12)-2,FALSE)</f>
        <v>12.167</v>
      </c>
      <c r="Z13" s="437">
        <f ca="1">VLOOKUP($B13,III!$C$13:$BC$42,COLUMN(III!BC$12)-2,FALSE)</f>
        <v>8</v>
      </c>
    </row>
    <row r="14" spans="1:26">
      <c r="A14" s="21">
        <v>4</v>
      </c>
      <c r="B14" s="434" t="s">
        <v>25</v>
      </c>
      <c r="C14" s="435" cm="1">
        <f t="array" aca="1" ref="C14" ca="1">SUMPRODUCT(--($G$10:$Z$10="Ranking"),--($G$9:$Z$9=C$9),$G14:$Z14,$G$6:$Z$6)</f>
        <v>8</v>
      </c>
      <c r="D14" s="436">
        <f t="shared" ca="1" si="1"/>
        <v>6</v>
      </c>
      <c r="E14" s="437" cm="1">
        <f t="array" aca="1" ref="E14" ca="1">SUMPRODUCT(--($G$10:$Z$10="Ranking"),--($G$9:$Z$9=E$9),$G14:$Z14,$G$6:$Z$6)</f>
        <v>7.8000000000000007</v>
      </c>
      <c r="F14" s="437">
        <f t="shared" ca="1" si="2"/>
        <v>4</v>
      </c>
      <c r="G14" s="435">
        <f ca="1">VLOOKUP($B14,RawMaterials!$C$13:$DN$45,COLUMN(RawMaterials!DJ$12)-2,FALSE)</f>
        <v>3.4</v>
      </c>
      <c r="H14" s="436">
        <f>VLOOKUP($B14,RawMaterials!$C$13:$DN$45,COLUMN(RawMaterials!DK$12)-2,FALSE)</f>
        <v>21</v>
      </c>
      <c r="I14" s="438">
        <f ca="1">VLOOKUP($B14,RawMaterials!$C$13:$DN$45,COLUMN(RawMaterials!DL$12)-2,FALSE)</f>
        <v>3.2</v>
      </c>
      <c r="J14" s="437">
        <f ca="1">VLOOKUP($B14,RawMaterials!$C$13:$DN$45,COLUMN(RawMaterials!DM$12)-2,FALSE)</f>
        <v>20</v>
      </c>
      <c r="K14" s="435">
        <f ca="1">VLOOKUP($B14,BatteryManufacturing!$C$16:$AY$45,COLUMN(BatteryManufacturing!AU$15)-2,FALSE)</f>
        <v>1.7149999999999999</v>
      </c>
      <c r="L14" s="436">
        <f>VLOOKUP($B14,BatteryManufacturing!$C$16:$AY$45,COLUMN(BatteryManufacturing!AV$15)-2,FALSE)</f>
        <v>6</v>
      </c>
      <c r="M14" s="438">
        <f ca="1">VLOOKUP($B14,BatteryManufacturing!$C$16:$AY$45,COLUMN(BatteryManufacturing!AW$15)-2,FALSE)</f>
        <v>1.8579999999999999</v>
      </c>
      <c r="N14" s="437">
        <f ca="1">VLOOKUP($B14,BatteryManufacturing!$C$16:$AY$45,COLUMN(BatteryManufacturing!AX$15)-2,FALSE)</f>
        <v>6</v>
      </c>
      <c r="O14" s="436">
        <f ca="1">VLOOKUP($B14,DownstreamDemand!$C$12:$AJ$41,COLUMN(DownstreamDemand!AF$11)-2,FALSE)</f>
        <v>2.5</v>
      </c>
      <c r="P14" s="436">
        <f ca="1">VLOOKUP($B14,DownstreamDemand!$C$12:$AJ$41,COLUMN(DownstreamDemand!AG$11)-2,FALSE)</f>
        <v>2</v>
      </c>
      <c r="Q14" s="437">
        <f ca="1">VLOOKUP($B14,DownstreamDemand!$C$12:$AJ$41,COLUMN(DownstreamDemand!AH$11)-2,FALSE)</f>
        <v>2.5</v>
      </c>
      <c r="R14" s="437">
        <f ca="1">VLOOKUP($B14,DownstreamDemand!$C$12:$AJ$41,COLUMN(DownstreamDemand!AI$11)-2,FALSE)</f>
        <v>2</v>
      </c>
      <c r="S14" s="439">
        <f ca="1">VLOOKUP($B14,ESG!$C$13:$BJ$42,COLUMN(ESG!BD$12)-2,FALSE)</f>
        <v>6</v>
      </c>
      <c r="T14" s="436">
        <f ca="1">VLOOKUP($B14,ESG!$C$13:$BJ$42,COLUMN(ESG!BE$12)-2,FALSE)</f>
        <v>4</v>
      </c>
      <c r="U14" s="440">
        <f ca="1">VLOOKUP($B14,ESG!$C$13:$BJ$42,COLUMN(ESG!BF$12)-2,FALSE)</f>
        <v>6.6670000000000007</v>
      </c>
      <c r="V14" s="437">
        <f ca="1">VLOOKUP($B14,ESG!$C$13:$BJ$42,COLUMN(ESG!BG$12)-2,FALSE)</f>
        <v>4</v>
      </c>
      <c r="W14" s="439">
        <f ca="1">VLOOKUP($B14,III!$C$13:$BC$42,COLUMN(III!AZ$12)-2,FALSE)</f>
        <v>10.834</v>
      </c>
      <c r="X14" s="436">
        <f ca="1">VLOOKUP($B14,III!$C$13:$BC$42,COLUMN(III!BA$12)-2,FALSE)</f>
        <v>7</v>
      </c>
      <c r="Y14" s="440">
        <f ca="1">VLOOKUP($B14,III!$C$13:$BC$42,COLUMN(III!BB$12)-2,FALSE)</f>
        <v>11.5</v>
      </c>
      <c r="Z14" s="437">
        <f ca="1">VLOOKUP($B14,III!$C$13:$BC$42,COLUMN(III!BC$12)-2,FALSE)</f>
        <v>7</v>
      </c>
    </row>
    <row r="15" spans="1:26">
      <c r="A15" s="21">
        <v>15</v>
      </c>
      <c r="B15" s="434" t="s">
        <v>55</v>
      </c>
      <c r="C15" s="435" cm="1">
        <f t="array" aca="1" ref="C15" ca="1">SUMPRODUCT(--($G$10:$Z$10="Ranking"),--($G$9:$Z$9=C$9),$G15:$Z15,$G$6:$Z$6)</f>
        <v>15.8</v>
      </c>
      <c r="D15" s="436">
        <f t="shared" ca="1" si="1"/>
        <v>15</v>
      </c>
      <c r="E15" s="437" cm="1">
        <f t="array" aca="1" ref="E15" ca="1">SUMPRODUCT(--($G$10:$Z$10="Ranking"),--($G$9:$Z$9=E$9),$G15:$Z15,$G$6:$Z$6)</f>
        <v>14.800000000000002</v>
      </c>
      <c r="F15" s="437">
        <f t="shared" ca="1" si="2"/>
        <v>14</v>
      </c>
      <c r="G15" s="435">
        <f ca="1">VLOOKUP($B15,RawMaterials!$C$13:$DN$45,COLUMN(RawMaterials!DJ$12)-2,FALSE)</f>
        <v>3</v>
      </c>
      <c r="H15" s="436">
        <f>VLOOKUP($B15,RawMaterials!$C$13:$DN$45,COLUMN(RawMaterials!DK$12)-2,FALSE)</f>
        <v>26</v>
      </c>
      <c r="I15" s="438">
        <f ca="1">VLOOKUP($B15,RawMaterials!$C$13:$DN$45,COLUMN(RawMaterials!DL$12)-2,FALSE)</f>
        <v>2.8</v>
      </c>
      <c r="J15" s="437">
        <f ca="1">VLOOKUP($B15,RawMaterials!$C$13:$DN$45,COLUMN(RawMaterials!DM$12)-2,FALSE)</f>
        <v>24</v>
      </c>
      <c r="K15" s="435">
        <f ca="1">VLOOKUP($B15,BatteryManufacturing!$C$16:$AY$45,COLUMN(BatteryManufacturing!AU$15)-2,FALSE)</f>
        <v>1.8579999999999999</v>
      </c>
      <c r="L15" s="436">
        <f>VLOOKUP($B15,BatteryManufacturing!$C$16:$AY$45,COLUMN(BatteryManufacturing!AV$15)-2,FALSE)</f>
        <v>6</v>
      </c>
      <c r="M15" s="438">
        <f ca="1">VLOOKUP($B15,BatteryManufacturing!$C$16:$AY$45,COLUMN(BatteryManufacturing!AW$15)-2,FALSE)</f>
        <v>1.8579999999999999</v>
      </c>
      <c r="N15" s="437">
        <f ca="1">VLOOKUP($B15,BatteryManufacturing!$C$16:$AY$45,COLUMN(BatteryManufacturing!AX$15)-2,FALSE)</f>
        <v>6</v>
      </c>
      <c r="O15" s="436">
        <f ca="1">VLOOKUP($B15,DownstreamDemand!$C$12:$AJ$41,COLUMN(DownstreamDemand!AF$11)-2,FALSE)</f>
        <v>12</v>
      </c>
      <c r="P15" s="436">
        <f ca="1">VLOOKUP($B15,DownstreamDemand!$C$12:$AJ$41,COLUMN(DownstreamDemand!AG$11)-2,FALSE)</f>
        <v>20</v>
      </c>
      <c r="Q15" s="437">
        <f ca="1">VLOOKUP($B15,DownstreamDemand!$C$12:$AJ$41,COLUMN(DownstreamDemand!AH$11)-2,FALSE)</f>
        <v>12</v>
      </c>
      <c r="R15" s="437">
        <f ca="1">VLOOKUP($B15,DownstreamDemand!$C$12:$AJ$41,COLUMN(DownstreamDemand!AI$11)-2,FALSE)</f>
        <v>21</v>
      </c>
      <c r="S15" s="439">
        <f ca="1">VLOOKUP($B15,ESG!$C$13:$BJ$42,COLUMN(ESG!BD$12)-2,FALSE)</f>
        <v>12.777777777777777</v>
      </c>
      <c r="T15" s="436">
        <f ca="1">VLOOKUP($B15,ESG!$C$13:$BJ$42,COLUMN(ESG!BE$12)-2,FALSE)</f>
        <v>13</v>
      </c>
      <c r="U15" s="440">
        <f ca="1">VLOOKUP($B15,ESG!$C$13:$BJ$42,COLUMN(ESG!BF$12)-2,FALSE)</f>
        <v>12.945</v>
      </c>
      <c r="V15" s="437">
        <f ca="1">VLOOKUP($B15,ESG!$C$13:$BJ$42,COLUMN(ESG!BG$12)-2,FALSE)</f>
        <v>9</v>
      </c>
      <c r="W15" s="439">
        <f ca="1">VLOOKUP($B15,III!$C$13:$BC$42,COLUMN(III!AZ$12)-2,FALSE)</f>
        <v>14.777999999999999</v>
      </c>
      <c r="X15" s="436">
        <f ca="1">VLOOKUP($B15,III!$C$13:$BC$42,COLUMN(III!BA$12)-2,FALSE)</f>
        <v>14</v>
      </c>
      <c r="Y15" s="440">
        <f ca="1">VLOOKUP($B15,III!$C$13:$BC$42,COLUMN(III!BB$12)-2,FALSE)</f>
        <v>15.055999999999999</v>
      </c>
      <c r="Z15" s="437">
        <f ca="1">VLOOKUP($B15,III!$C$13:$BC$42,COLUMN(III!BC$12)-2,FALSE)</f>
        <v>14</v>
      </c>
    </row>
    <row r="16" spans="1:26">
      <c r="A16" s="21">
        <v>8</v>
      </c>
      <c r="B16" s="434" t="s">
        <v>339</v>
      </c>
      <c r="C16" s="435" cm="1">
        <f t="array" aca="1" ref="C16" ca="1">SUMPRODUCT(--($G$10:$Z$10="Ranking"),--($G$9:$Z$9=C$9),$G16:$Z16,$G$6:$Z$6)</f>
        <v>7.8000000000000007</v>
      </c>
      <c r="D16" s="436">
        <f t="shared" ca="1" si="1"/>
        <v>5</v>
      </c>
      <c r="E16" s="437" cm="1">
        <f t="array" aca="1" ref="E16" ca="1">SUMPRODUCT(--($G$10:$Z$10="Ranking"),--($G$9:$Z$9=E$9),$G16:$Z16,$G$6:$Z$6)</f>
        <v>9.4</v>
      </c>
      <c r="F16" s="437">
        <f t="shared" ca="1" si="2"/>
        <v>8</v>
      </c>
      <c r="G16" s="435">
        <f ca="1">VLOOKUP($B16,RawMaterials!$C$13:$DN$45,COLUMN(RawMaterials!DJ$12)-2,FALSE)</f>
        <v>4</v>
      </c>
      <c r="H16" s="436">
        <f>VLOOKUP($B16,RawMaterials!$C$13:$DN$45,COLUMN(RawMaterials!DK$12)-2,FALSE)</f>
        <v>18</v>
      </c>
      <c r="I16" s="438">
        <f ca="1">VLOOKUP($B16,RawMaterials!$C$13:$DN$45,COLUMN(RawMaterials!DL$12)-2,FALSE)</f>
        <v>4</v>
      </c>
      <c r="J16" s="437">
        <f ca="1">VLOOKUP($B16,RawMaterials!$C$13:$DN$45,COLUMN(RawMaterials!DM$12)-2,FALSE)</f>
        <v>16</v>
      </c>
      <c r="K16" s="435">
        <f ca="1">VLOOKUP($B16,BatteryManufacturing!$C$16:$AY$45,COLUMN(BatteryManufacturing!AU$15)-2,FALSE)</f>
        <v>1.2859999999999998</v>
      </c>
      <c r="L16" s="436">
        <f>VLOOKUP($B16,BatteryManufacturing!$C$16:$AY$45,COLUMN(BatteryManufacturing!AV$15)-2,FALSE)</f>
        <v>10</v>
      </c>
      <c r="M16" s="438">
        <f ca="1">VLOOKUP($B16,BatteryManufacturing!$C$16:$AY$45,COLUMN(BatteryManufacturing!AW$15)-2,FALSE)</f>
        <v>1.4289999999999998</v>
      </c>
      <c r="N16" s="437">
        <f ca="1">VLOOKUP($B16,BatteryManufacturing!$C$16:$AY$45,COLUMN(BatteryManufacturing!AX$15)-2,FALSE)</f>
        <v>10</v>
      </c>
      <c r="O16" s="436">
        <f ca="1">VLOOKUP($B16,DownstreamDemand!$C$12:$AJ$41,COLUMN(DownstreamDemand!AF$11)-2,FALSE)</f>
        <v>4.5</v>
      </c>
      <c r="P16" s="436">
        <f ca="1">VLOOKUP($B16,DownstreamDemand!$C$12:$AJ$41,COLUMN(DownstreamDemand!AG$11)-2,FALSE)</f>
        <v>7</v>
      </c>
      <c r="Q16" s="437">
        <f ca="1">VLOOKUP($B16,DownstreamDemand!$C$12:$AJ$41,COLUMN(DownstreamDemand!AH$11)-2,FALSE)</f>
        <v>5.5</v>
      </c>
      <c r="R16" s="437">
        <f ca="1">VLOOKUP($B16,DownstreamDemand!$C$12:$AJ$41,COLUMN(DownstreamDemand!AI$11)-2,FALSE)</f>
        <v>9</v>
      </c>
      <c r="S16" s="439">
        <f ca="1">VLOOKUP($B16,ESG!$C$13:$BJ$42,COLUMN(ESG!BD$12)-2,FALSE)</f>
        <v>3.6666666666666665</v>
      </c>
      <c r="T16" s="436">
        <f ca="1">VLOOKUP($B16,ESG!$C$13:$BJ$42,COLUMN(ESG!BE$12)-2,FALSE)</f>
        <v>1</v>
      </c>
      <c r="U16" s="440">
        <f ca="1">VLOOKUP($B16,ESG!$C$13:$BJ$42,COLUMN(ESG!BF$12)-2,FALSE)</f>
        <v>3.8340000000000001</v>
      </c>
      <c r="V16" s="437">
        <f ca="1">VLOOKUP($B16,ESG!$C$13:$BJ$42,COLUMN(ESG!BG$12)-2,FALSE)</f>
        <v>1</v>
      </c>
      <c r="W16" s="439">
        <f ca="1">VLOOKUP($B16,III!$C$13:$BC$42,COLUMN(III!AZ$12)-2,FALSE)</f>
        <v>8.5</v>
      </c>
      <c r="X16" s="436">
        <f ca="1">VLOOKUP($B16,III!$C$13:$BC$42,COLUMN(III!BA$12)-2,FALSE)</f>
        <v>3</v>
      </c>
      <c r="Y16" s="440">
        <f ca="1">VLOOKUP($B16,III!$C$13:$BC$42,COLUMN(III!BB$12)-2,FALSE)</f>
        <v>13.584</v>
      </c>
      <c r="Z16" s="437">
        <f ca="1">VLOOKUP($B16,III!$C$13:$BC$42,COLUMN(III!BC$12)-2,FALSE)</f>
        <v>11</v>
      </c>
    </row>
    <row r="17" spans="1:26">
      <c r="A17" s="21">
        <v>14</v>
      </c>
      <c r="B17" s="434" t="s">
        <v>27</v>
      </c>
      <c r="C17" s="435" cm="1">
        <f t="array" aca="1" ref="C17" ca="1">SUMPRODUCT(--($G$10:$Z$10="Ranking"),--($G$9:$Z$9=C$9),$G17:$Z17,$G$6:$Z$6)</f>
        <v>15</v>
      </c>
      <c r="D17" s="436">
        <f t="shared" ca="1" si="1"/>
        <v>14</v>
      </c>
      <c r="E17" s="437" cm="1">
        <f t="array" aca="1" ref="E17" ca="1">SUMPRODUCT(--($G$10:$Z$10="Ranking"),--($G$9:$Z$9=E$9),$G17:$Z17,$G$6:$Z$6)</f>
        <v>14.800000000000002</v>
      </c>
      <c r="F17" s="437">
        <f t="shared" ca="1" si="2"/>
        <v>14</v>
      </c>
      <c r="G17" s="435">
        <f ca="1">VLOOKUP($B17,RawMaterials!$C$13:$DN$45,COLUMN(RawMaterials!DJ$12)-2,FALSE)</f>
        <v>3.2</v>
      </c>
      <c r="H17" s="436">
        <f>VLOOKUP($B17,RawMaterials!$C$13:$DN$45,COLUMN(RawMaterials!DK$12)-2,FALSE)</f>
        <v>24</v>
      </c>
      <c r="I17" s="438">
        <f ca="1">VLOOKUP($B17,RawMaterials!$C$13:$DN$45,COLUMN(RawMaterials!DL$12)-2,FALSE)</f>
        <v>2.8</v>
      </c>
      <c r="J17" s="437">
        <f ca="1">VLOOKUP($B17,RawMaterials!$C$13:$DN$45,COLUMN(RawMaterials!DM$12)-2,FALSE)</f>
        <v>24</v>
      </c>
      <c r="K17" s="435">
        <f ca="1">VLOOKUP($B17,BatteryManufacturing!$C$16:$AY$45,COLUMN(BatteryManufacturing!AU$15)-2,FALSE)</f>
        <v>2.1429999999999998</v>
      </c>
      <c r="L17" s="436">
        <f>VLOOKUP($B17,BatteryManufacturing!$C$16:$AY$45,COLUMN(BatteryManufacturing!AV$15)-2,FALSE)</f>
        <v>5</v>
      </c>
      <c r="M17" s="438">
        <f ca="1">VLOOKUP($B17,BatteryManufacturing!$C$16:$AY$45,COLUMN(BatteryManufacturing!AW$15)-2,FALSE)</f>
        <v>2.5720000000000001</v>
      </c>
      <c r="N17" s="437">
        <f ca="1">VLOOKUP($B17,BatteryManufacturing!$C$16:$AY$45,COLUMN(BatteryManufacturing!AX$15)-2,FALSE)</f>
        <v>5</v>
      </c>
      <c r="O17" s="436">
        <f ca="1">VLOOKUP($B17,DownstreamDemand!$C$12:$AJ$41,COLUMN(DownstreamDemand!AF$11)-2,FALSE)</f>
        <v>9</v>
      </c>
      <c r="P17" s="436">
        <f ca="1">VLOOKUP($B17,DownstreamDemand!$C$12:$AJ$41,COLUMN(DownstreamDemand!AG$11)-2,FALSE)</f>
        <v>15</v>
      </c>
      <c r="Q17" s="437">
        <f ca="1">VLOOKUP($B17,DownstreamDemand!$C$12:$AJ$41,COLUMN(DownstreamDemand!AH$11)-2,FALSE)</f>
        <v>8.5</v>
      </c>
      <c r="R17" s="437">
        <f ca="1">VLOOKUP($B17,DownstreamDemand!$C$12:$AJ$41,COLUMN(DownstreamDemand!AI$11)-2,FALSE)</f>
        <v>14</v>
      </c>
      <c r="S17" s="439">
        <f ca="1">VLOOKUP($B17,ESG!$C$13:$BJ$42,COLUMN(ESG!BD$12)-2,FALSE)</f>
        <v>13.277777777777779</v>
      </c>
      <c r="T17" s="436">
        <f ca="1">VLOOKUP($B17,ESG!$C$13:$BJ$42,COLUMN(ESG!BE$12)-2,FALSE)</f>
        <v>15</v>
      </c>
      <c r="U17" s="440">
        <f ca="1">VLOOKUP($B17,ESG!$C$13:$BJ$42,COLUMN(ESG!BF$12)-2,FALSE)</f>
        <v>13.888999999999999</v>
      </c>
      <c r="V17" s="437">
        <f ca="1">VLOOKUP($B17,ESG!$C$13:$BJ$42,COLUMN(ESG!BG$12)-2,FALSE)</f>
        <v>14</v>
      </c>
      <c r="W17" s="439">
        <f ca="1">VLOOKUP($B17,III!$C$13:$BC$42,COLUMN(III!AZ$12)-2,FALSE)</f>
        <v>16.5</v>
      </c>
      <c r="X17" s="436">
        <f ca="1">VLOOKUP($B17,III!$C$13:$BC$42,COLUMN(III!BA$12)-2,FALSE)</f>
        <v>16</v>
      </c>
      <c r="Y17" s="440">
        <f ca="1">VLOOKUP($B17,III!$C$13:$BC$42,COLUMN(III!BB$12)-2,FALSE)</f>
        <v>15.917</v>
      </c>
      <c r="Z17" s="437">
        <f ca="1">VLOOKUP($B17,III!$C$13:$BC$42,COLUMN(III!BC$12)-2,FALSE)</f>
        <v>17</v>
      </c>
    </row>
    <row r="18" spans="1:26">
      <c r="A18" s="21">
        <v>24</v>
      </c>
      <c r="B18" s="434" t="s">
        <v>340</v>
      </c>
      <c r="C18" s="435" cm="1">
        <f t="array" aca="1" ref="C18" ca="1">SUMPRODUCT(--($G$10:$Z$10="Ranking"),--($G$9:$Z$9=C$9),$G18:$Z18,$G$6:$Z$6)</f>
        <v>19.8</v>
      </c>
      <c r="D18" s="436">
        <f t="shared" ca="1" si="1"/>
        <v>24</v>
      </c>
      <c r="E18" s="437" cm="1">
        <f t="array" aca="1" ref="E18" ca="1">SUMPRODUCT(--($G$10:$Z$10="Ranking"),--($G$9:$Z$9=E$9),$G18:$Z18,$G$6:$Z$6)</f>
        <v>20.200000000000003</v>
      </c>
      <c r="F18" s="437">
        <f t="shared" ca="1" si="2"/>
        <v>24</v>
      </c>
      <c r="G18" s="435">
        <f ca="1">VLOOKUP($B18,RawMaterials!$C$13:$DN$45,COLUMN(RawMaterials!DJ$12)-2,FALSE)</f>
        <v>3</v>
      </c>
      <c r="H18" s="436">
        <f>VLOOKUP($B18,RawMaterials!$C$13:$DN$45,COLUMN(RawMaterials!DK$12)-2,FALSE)</f>
        <v>26</v>
      </c>
      <c r="I18" s="438">
        <f ca="1">VLOOKUP($B18,RawMaterials!$C$13:$DN$45,COLUMN(RawMaterials!DL$12)-2,FALSE)</f>
        <v>2.8</v>
      </c>
      <c r="J18" s="437">
        <f ca="1">VLOOKUP($B18,RawMaterials!$C$13:$DN$45,COLUMN(RawMaterials!DM$12)-2,FALSE)</f>
        <v>24</v>
      </c>
      <c r="K18" s="435">
        <f ca="1">VLOOKUP($B18,BatteryManufacturing!$C$16:$AY$45,COLUMN(BatteryManufacturing!AU$15)-2,FALSE)</f>
        <v>1</v>
      </c>
      <c r="L18" s="436">
        <f>VLOOKUP($B18,BatteryManufacturing!$C$16:$AY$45,COLUMN(BatteryManufacturing!AV$15)-2,FALSE)</f>
        <v>18</v>
      </c>
      <c r="M18" s="438">
        <f ca="1">VLOOKUP($B18,BatteryManufacturing!$C$16:$AY$45,COLUMN(BatteryManufacturing!AW$15)-2,FALSE)</f>
        <v>1</v>
      </c>
      <c r="N18" s="437">
        <f ca="1">VLOOKUP($B18,BatteryManufacturing!$C$16:$AY$45,COLUMN(BatteryManufacturing!AX$15)-2,FALSE)</f>
        <v>20</v>
      </c>
      <c r="O18" s="436">
        <f ca="1">VLOOKUP($B18,DownstreamDemand!$C$12:$AJ$41,COLUMN(DownstreamDemand!AF$11)-2,FALSE)</f>
        <v>13.5</v>
      </c>
      <c r="P18" s="436">
        <f ca="1">VLOOKUP($B18,DownstreamDemand!$C$12:$AJ$41,COLUMN(DownstreamDemand!AG$11)-2,FALSE)</f>
        <v>24</v>
      </c>
      <c r="Q18" s="437">
        <f ca="1">VLOOKUP($B18,DownstreamDemand!$C$12:$AJ$41,COLUMN(DownstreamDemand!AH$11)-2,FALSE)</f>
        <v>13.5</v>
      </c>
      <c r="R18" s="437">
        <f ca="1">VLOOKUP($B18,DownstreamDemand!$C$12:$AJ$41,COLUMN(DownstreamDemand!AI$11)-2,FALSE)</f>
        <v>23</v>
      </c>
      <c r="S18" s="439">
        <f ca="1">VLOOKUP($B18,ESG!$C$13:$BJ$42,COLUMN(ESG!BD$12)-2,FALSE)</f>
        <v>12.055555555555554</v>
      </c>
      <c r="T18" s="436">
        <f ca="1">VLOOKUP($B18,ESG!$C$13:$BJ$42,COLUMN(ESG!BE$12)-2,FALSE)</f>
        <v>12</v>
      </c>
      <c r="U18" s="440">
        <f ca="1">VLOOKUP($B18,ESG!$C$13:$BJ$42,COLUMN(ESG!BF$12)-2,FALSE)</f>
        <v>13.388999999999999</v>
      </c>
      <c r="V18" s="437">
        <f ca="1">VLOOKUP($B18,ESG!$C$13:$BJ$42,COLUMN(ESG!BG$12)-2,FALSE)</f>
        <v>13</v>
      </c>
      <c r="W18" s="439">
        <f ca="1">VLOOKUP($B18,III!$C$13:$BC$42,COLUMN(III!AZ$12)-2,FALSE)</f>
        <v>17.445</v>
      </c>
      <c r="X18" s="436">
        <f ca="1">VLOOKUP($B18,III!$C$13:$BC$42,COLUMN(III!BA$12)-2,FALSE)</f>
        <v>19</v>
      </c>
      <c r="Y18" s="440">
        <f ca="1">VLOOKUP($B18,III!$C$13:$BC$42,COLUMN(III!BB$12)-2,FALSE)</f>
        <v>17.556000000000001</v>
      </c>
      <c r="Z18" s="437">
        <f ca="1">VLOOKUP($B18,III!$C$13:$BC$42,COLUMN(III!BC$12)-2,FALSE)</f>
        <v>21</v>
      </c>
    </row>
    <row r="19" spans="1:26">
      <c r="A19" s="21">
        <v>7</v>
      </c>
      <c r="B19" s="434" t="s">
        <v>28</v>
      </c>
      <c r="C19" s="435" cm="1">
        <f t="array" aca="1" ref="C19" ca="1">SUMPRODUCT(--($G$10:$Z$10="Ranking"),--($G$9:$Z$9=C$9),$G19:$Z19,$G$6:$Z$6)</f>
        <v>8.6</v>
      </c>
      <c r="D19" s="436">
        <f t="shared" ca="1" si="1"/>
        <v>8</v>
      </c>
      <c r="E19" s="437" cm="1">
        <f t="array" aca="1" ref="E19" ca="1">SUMPRODUCT(--($G$10:$Z$10="Ranking"),--($G$9:$Z$9=E$9),$G19:$Z19,$G$6:$Z$6)</f>
        <v>9.2000000000000011</v>
      </c>
      <c r="F19" s="437">
        <f t="shared" ca="1" si="2"/>
        <v>7</v>
      </c>
      <c r="G19" s="435">
        <f ca="1">VLOOKUP($B19,RawMaterials!$C$13:$DN$45,COLUMN(RawMaterials!DJ$12)-2,FALSE)</f>
        <v>3.4</v>
      </c>
      <c r="H19" s="436">
        <f>VLOOKUP($B19,RawMaterials!$C$13:$DN$45,COLUMN(RawMaterials!DK$12)-2,FALSE)</f>
        <v>21</v>
      </c>
      <c r="I19" s="438">
        <f ca="1">VLOOKUP($B19,RawMaterials!$C$13:$DN$45,COLUMN(RawMaterials!DL$12)-2,FALSE)</f>
        <v>2.8</v>
      </c>
      <c r="J19" s="437">
        <f ca="1">VLOOKUP($B19,RawMaterials!$C$13:$DN$45,COLUMN(RawMaterials!DM$12)-2,FALSE)</f>
        <v>24</v>
      </c>
      <c r="K19" s="435">
        <f ca="1">VLOOKUP($B19,BatteryManufacturing!$C$16:$AY$45,COLUMN(BatteryManufacturing!AU$15)-2,FALSE)</f>
        <v>1.4289999999999998</v>
      </c>
      <c r="L19" s="436">
        <f>VLOOKUP($B19,BatteryManufacturing!$C$16:$AY$45,COLUMN(BatteryManufacturing!AV$15)-2,FALSE)</f>
        <v>9</v>
      </c>
      <c r="M19" s="438">
        <f ca="1">VLOOKUP($B19,BatteryManufacturing!$C$16:$AY$45,COLUMN(BatteryManufacturing!AW$15)-2,FALSE)</f>
        <v>1.4289999999999998</v>
      </c>
      <c r="N19" s="437">
        <f ca="1">VLOOKUP($B19,BatteryManufacturing!$C$16:$AY$45,COLUMN(BatteryManufacturing!AX$15)-2,FALSE)</f>
        <v>10</v>
      </c>
      <c r="O19" s="436">
        <f ca="1">VLOOKUP($B19,DownstreamDemand!$C$12:$AJ$41,COLUMN(DownstreamDemand!AF$11)-2,FALSE)</f>
        <v>5</v>
      </c>
      <c r="P19" s="436">
        <f ca="1">VLOOKUP($B19,DownstreamDemand!$C$12:$AJ$41,COLUMN(DownstreamDemand!AG$11)-2,FALSE)</f>
        <v>8</v>
      </c>
      <c r="Q19" s="437">
        <f ca="1">VLOOKUP($B19,DownstreamDemand!$C$12:$AJ$41,COLUMN(DownstreamDemand!AH$11)-2,FALSE)</f>
        <v>5</v>
      </c>
      <c r="R19" s="437">
        <f ca="1">VLOOKUP($B19,DownstreamDemand!$C$12:$AJ$41,COLUMN(DownstreamDemand!AI$11)-2,FALSE)</f>
        <v>7</v>
      </c>
      <c r="S19" s="439">
        <f ca="1">VLOOKUP($B19,ESG!$C$13:$BJ$42,COLUMN(ESG!BD$12)-2,FALSE)</f>
        <v>4.7777777777777768</v>
      </c>
      <c r="T19" s="436">
        <f ca="1">VLOOKUP($B19,ESG!$C$13:$BJ$42,COLUMN(ESG!BE$12)-2,FALSE)</f>
        <v>3</v>
      </c>
      <c r="U19" s="440">
        <f ca="1">VLOOKUP($B19,ESG!$C$13:$BJ$42,COLUMN(ESG!BF$12)-2,FALSE)</f>
        <v>4.2780000000000005</v>
      </c>
      <c r="V19" s="437">
        <f ca="1">VLOOKUP($B19,ESG!$C$13:$BJ$42,COLUMN(ESG!BG$12)-2,FALSE)</f>
        <v>2</v>
      </c>
      <c r="W19" s="439">
        <f ca="1">VLOOKUP($B19,III!$C$13:$BC$42,COLUMN(III!AZ$12)-2,FALSE)</f>
        <v>6.6120000000000001</v>
      </c>
      <c r="X19" s="436">
        <f ca="1">VLOOKUP($B19,III!$C$13:$BC$42,COLUMN(III!BA$12)-2,FALSE)</f>
        <v>2</v>
      </c>
      <c r="Y19" s="440">
        <f ca="1">VLOOKUP($B19,III!$C$13:$BC$42,COLUMN(III!BB$12)-2,FALSE)</f>
        <v>8.4169999999999998</v>
      </c>
      <c r="Z19" s="437">
        <f ca="1">VLOOKUP($B19,III!$C$13:$BC$42,COLUMN(III!BC$12)-2,FALSE)</f>
        <v>3</v>
      </c>
    </row>
    <row r="20" spans="1:26">
      <c r="A20" s="21">
        <v>26</v>
      </c>
      <c r="B20" s="434" t="s">
        <v>341</v>
      </c>
      <c r="C20" s="435" cm="1">
        <f t="array" aca="1" ref="C20" ca="1">SUMPRODUCT(--($G$10:$Z$10="Ranking"),--($G$9:$Z$9=C$9),$G20:$Z20,$G$6:$Z$6)</f>
        <v>16.399999999999999</v>
      </c>
      <c r="D20" s="436">
        <f t="shared" ca="1" si="1"/>
        <v>17</v>
      </c>
      <c r="E20" s="437" cm="1">
        <f t="array" aca="1" ref="E20" ca="1">SUMPRODUCT(--($G$10:$Z$10="Ranking"),--($G$9:$Z$9=E$9),$G20:$Z20,$G$6:$Z$6)</f>
        <v>21.400000000000002</v>
      </c>
      <c r="F20" s="437">
        <f t="shared" ca="1" si="2"/>
        <v>26</v>
      </c>
      <c r="G20" s="435">
        <f ca="1">VLOOKUP($B20,RawMaterials!$C$13:$DN$45,COLUMN(RawMaterials!DJ$12)-2,FALSE)</f>
        <v>4.8</v>
      </c>
      <c r="H20" s="436">
        <f>VLOOKUP($B20,RawMaterials!$C$13:$DN$45,COLUMN(RawMaterials!DK$12)-2,FALSE)</f>
        <v>15</v>
      </c>
      <c r="I20" s="438">
        <f ca="1">VLOOKUP($B20,RawMaterials!$C$13:$DN$45,COLUMN(RawMaterials!DL$12)-2,FALSE)</f>
        <v>4</v>
      </c>
      <c r="J20" s="437">
        <f ca="1">VLOOKUP($B20,RawMaterials!$C$13:$DN$45,COLUMN(RawMaterials!DM$12)-2,FALSE)</f>
        <v>16</v>
      </c>
      <c r="K20" s="435">
        <f ca="1">VLOOKUP($B20,BatteryManufacturing!$C$16:$AY$45,COLUMN(BatteryManufacturing!AU$15)-2,FALSE)</f>
        <v>1</v>
      </c>
      <c r="L20" s="436">
        <f>VLOOKUP($B20,BatteryManufacturing!$C$16:$AY$45,COLUMN(BatteryManufacturing!AV$15)-2,FALSE)</f>
        <v>18</v>
      </c>
      <c r="M20" s="438">
        <f ca="1">VLOOKUP($B20,BatteryManufacturing!$C$16:$AY$45,COLUMN(BatteryManufacturing!AW$15)-2,FALSE)</f>
        <v>1</v>
      </c>
      <c r="N20" s="437">
        <f ca="1">VLOOKUP($B20,BatteryManufacturing!$C$16:$AY$45,COLUMN(BatteryManufacturing!AX$15)-2,FALSE)</f>
        <v>20</v>
      </c>
      <c r="O20" s="436">
        <f ca="1">VLOOKUP($B20,DownstreamDemand!$C$12:$AJ$41,COLUMN(DownstreamDemand!AF$11)-2,FALSE)</f>
        <v>8</v>
      </c>
      <c r="P20" s="436">
        <f ca="1">VLOOKUP($B20,DownstreamDemand!$C$12:$AJ$41,COLUMN(DownstreamDemand!AG$11)-2,FALSE)</f>
        <v>13</v>
      </c>
      <c r="Q20" s="437">
        <f ca="1">VLOOKUP($B20,DownstreamDemand!$C$12:$AJ$41,COLUMN(DownstreamDemand!AH$11)-2,FALSE)</f>
        <v>10</v>
      </c>
      <c r="R20" s="437">
        <f ca="1">VLOOKUP($B20,DownstreamDemand!$C$12:$AJ$41,COLUMN(DownstreamDemand!AI$11)-2,FALSE)</f>
        <v>16</v>
      </c>
      <c r="S20" s="439">
        <f ca="1">VLOOKUP($B20,ESG!$C$13:$BJ$42,COLUMN(ESG!BD$12)-2,FALSE)</f>
        <v>21.055555555555557</v>
      </c>
      <c r="T20" s="436">
        <f ca="1">VLOOKUP($B20,ESG!$C$13:$BJ$42,COLUMN(ESG!BE$12)-2,FALSE)</f>
        <v>21</v>
      </c>
      <c r="U20" s="440">
        <f ca="1">VLOOKUP($B20,ESG!$C$13:$BJ$42,COLUMN(ESG!BF$12)-2,FALSE)</f>
        <v>24.5</v>
      </c>
      <c r="V20" s="437">
        <f ca="1">VLOOKUP($B20,ESG!$C$13:$BJ$42,COLUMN(ESG!BG$12)-2,FALSE)</f>
        <v>29</v>
      </c>
      <c r="W20" s="439">
        <f ca="1">VLOOKUP($B20,III!$C$13:$BC$42,COLUMN(III!AZ$12)-2,FALSE)</f>
        <v>15.277999999999999</v>
      </c>
      <c r="X20" s="436">
        <f ca="1">VLOOKUP($B20,III!$C$13:$BC$42,COLUMN(III!BA$12)-2,FALSE)</f>
        <v>15</v>
      </c>
      <c r="Y20" s="440">
        <f ca="1">VLOOKUP($B20,III!$C$13:$BC$42,COLUMN(III!BB$12)-2,FALSE)</f>
        <v>18.556000000000001</v>
      </c>
      <c r="Z20" s="437">
        <f ca="1">VLOOKUP($B20,III!$C$13:$BC$42,COLUMN(III!BC$12)-2,FALSE)</f>
        <v>26</v>
      </c>
    </row>
    <row r="21" spans="1:26">
      <c r="A21" s="21">
        <v>12</v>
      </c>
      <c r="B21" s="434" t="s">
        <v>342</v>
      </c>
      <c r="C21" s="435" cm="1">
        <f t="array" aca="1" ref="C21" ca="1">SUMPRODUCT(--($G$10:$Z$10="Ranking"),--($G$9:$Z$9=C$9),$G21:$Z21,$G$6:$Z$6)</f>
        <v>12</v>
      </c>
      <c r="D21" s="436">
        <f t="shared" ca="1" si="1"/>
        <v>12</v>
      </c>
      <c r="E21" s="437" cm="1">
        <f t="array" aca="1" ref="E21" ca="1">SUMPRODUCT(--($G$10:$Z$10="Ranking"),--($G$9:$Z$9=E$9),$G21:$Z21,$G$6:$Z$6)</f>
        <v>11.600000000000001</v>
      </c>
      <c r="F21" s="437">
        <f t="shared" ca="1" si="2"/>
        <v>12</v>
      </c>
      <c r="G21" s="435">
        <f ca="1">VLOOKUP($B21,RawMaterials!$C$13:$DN$45,COLUMN(RawMaterials!DJ$12)-2,FALSE)</f>
        <v>3</v>
      </c>
      <c r="H21" s="436">
        <f>VLOOKUP($B21,RawMaterials!$C$13:$DN$45,COLUMN(RawMaterials!DK$12)-2,FALSE)</f>
        <v>26</v>
      </c>
      <c r="I21" s="438">
        <f ca="1">VLOOKUP($B21,RawMaterials!$C$13:$DN$45,COLUMN(RawMaterials!DL$12)-2,FALSE)</f>
        <v>3</v>
      </c>
      <c r="J21" s="437">
        <f ca="1">VLOOKUP($B21,RawMaterials!$C$13:$DN$45,COLUMN(RawMaterials!DM$12)-2,FALSE)</f>
        <v>23</v>
      </c>
      <c r="K21" s="435">
        <f ca="1">VLOOKUP($B21,BatteryManufacturing!$C$16:$AY$45,COLUMN(BatteryManufacturing!AU$15)-2,FALSE)</f>
        <v>1.1429999999999998</v>
      </c>
      <c r="L21" s="436">
        <f>VLOOKUP($B21,BatteryManufacturing!$C$16:$AY$45,COLUMN(BatteryManufacturing!AV$15)-2,FALSE)</f>
        <v>15</v>
      </c>
      <c r="M21" s="438">
        <f ca="1">VLOOKUP($B21,BatteryManufacturing!$C$16:$AY$45,COLUMN(BatteryManufacturing!AW$15)-2,FALSE)</f>
        <v>1.2859999999999998</v>
      </c>
      <c r="N21" s="437">
        <f ca="1">VLOOKUP($B21,BatteryManufacturing!$C$16:$AY$45,COLUMN(BatteryManufacturing!AX$15)-2,FALSE)</f>
        <v>15</v>
      </c>
      <c r="O21" s="436">
        <f ca="1">VLOOKUP($B21,DownstreamDemand!$C$12:$AJ$41,COLUMN(DownstreamDemand!AF$11)-2,FALSE)</f>
        <v>3</v>
      </c>
      <c r="P21" s="436">
        <f ca="1">VLOOKUP($B21,DownstreamDemand!$C$12:$AJ$41,COLUMN(DownstreamDemand!AG$11)-2,FALSE)</f>
        <v>4</v>
      </c>
      <c r="Q21" s="437">
        <f ca="1">VLOOKUP($B21,DownstreamDemand!$C$12:$AJ$41,COLUMN(DownstreamDemand!AH$11)-2,FALSE)</f>
        <v>3</v>
      </c>
      <c r="R21" s="437">
        <f ca="1">VLOOKUP($B21,DownstreamDemand!$C$12:$AJ$41,COLUMN(DownstreamDemand!AI$11)-2,FALSE)</f>
        <v>4</v>
      </c>
      <c r="S21" s="439">
        <f ca="1">VLOOKUP($B21,ESG!$C$13:$BJ$42,COLUMN(ESG!BD$12)-2,FALSE)</f>
        <v>9.4444444444444446</v>
      </c>
      <c r="T21" s="436">
        <f ca="1">VLOOKUP($B21,ESG!$C$13:$BJ$42,COLUMN(ESG!BE$12)-2,FALSE)</f>
        <v>7</v>
      </c>
      <c r="U21" s="440">
        <f ca="1">VLOOKUP($B21,ESG!$C$13:$BJ$42,COLUMN(ESG!BF$12)-2,FALSE)</f>
        <v>9.3889999999999993</v>
      </c>
      <c r="V21" s="437">
        <f ca="1">VLOOKUP($B21,ESG!$C$13:$BJ$42,COLUMN(ESG!BG$12)-2,FALSE)</f>
        <v>7</v>
      </c>
      <c r="W21" s="439">
        <f ca="1">VLOOKUP($B21,III!$C$13:$BC$42,COLUMN(III!AZ$12)-2,FALSE)</f>
        <v>11.5</v>
      </c>
      <c r="X21" s="436">
        <f ca="1">VLOOKUP($B21,III!$C$13:$BC$42,COLUMN(III!BA$12)-2,FALSE)</f>
        <v>8</v>
      </c>
      <c r="Y21" s="440">
        <f ca="1">VLOOKUP($B21,III!$C$13:$BC$42,COLUMN(III!BB$12)-2,FALSE)</f>
        <v>12.472999999999999</v>
      </c>
      <c r="Z21" s="437">
        <f ca="1">VLOOKUP($B21,III!$C$13:$BC$42,COLUMN(III!BC$12)-2,FALSE)</f>
        <v>9</v>
      </c>
    </row>
    <row r="22" spans="1:26">
      <c r="A22" s="21">
        <v>29</v>
      </c>
      <c r="B22" s="434" t="s">
        <v>343</v>
      </c>
      <c r="C22" s="435" cm="1">
        <f t="array" aca="1" ref="C22" ca="1">SUMPRODUCT(--($G$10:$Z$10="Ranking"),--($G$9:$Z$9=C$9),$G22:$Z22,$G$6:$Z$6)</f>
        <v>23.6</v>
      </c>
      <c r="D22" s="436">
        <f t="shared" ca="1" si="1"/>
        <v>29</v>
      </c>
      <c r="E22" s="437" cm="1">
        <f t="array" aca="1" ref="E22" ca="1">SUMPRODUCT(--($G$10:$Z$10="Ranking"),--($G$9:$Z$9=E$9),$G22:$Z22,$G$6:$Z$6)</f>
        <v>23.400000000000002</v>
      </c>
      <c r="F22" s="437">
        <f t="shared" ca="1" si="2"/>
        <v>29</v>
      </c>
      <c r="G22" s="435">
        <f ca="1">VLOOKUP($B22,RawMaterials!$C$13:$DN$45,COLUMN(RawMaterials!DJ$12)-2,FALSE)</f>
        <v>5</v>
      </c>
      <c r="H22" s="436">
        <f>VLOOKUP($B22,RawMaterials!$C$13:$DN$45,COLUMN(RawMaterials!DK$12)-2,FALSE)</f>
        <v>11</v>
      </c>
      <c r="I22" s="438">
        <f ca="1">VLOOKUP($B22,RawMaterials!$C$13:$DN$45,COLUMN(RawMaterials!DL$12)-2,FALSE)</f>
        <v>5.4</v>
      </c>
      <c r="J22" s="437">
        <f ca="1">VLOOKUP($B22,RawMaterials!$C$13:$DN$45,COLUMN(RawMaterials!DM$12)-2,FALSE)</f>
        <v>8</v>
      </c>
      <c r="K22" s="435">
        <f ca="1">VLOOKUP($B22,BatteryManufacturing!$C$16:$AY$45,COLUMN(BatteryManufacturing!AU$15)-2,FALSE)</f>
        <v>1</v>
      </c>
      <c r="L22" s="436">
        <f>VLOOKUP($B22,BatteryManufacturing!$C$16:$AY$45,COLUMN(BatteryManufacturing!AV$15)-2,FALSE)</f>
        <v>18</v>
      </c>
      <c r="M22" s="438">
        <f ca="1">VLOOKUP($B22,BatteryManufacturing!$C$16:$AY$45,COLUMN(BatteryManufacturing!AW$15)-2,FALSE)</f>
        <v>1</v>
      </c>
      <c r="N22" s="437">
        <f ca="1">VLOOKUP($B22,BatteryManufacturing!$C$16:$AY$45,COLUMN(BatteryManufacturing!AX$15)-2,FALSE)</f>
        <v>20</v>
      </c>
      <c r="O22" s="436">
        <f ca="1">VLOOKUP($B22,DownstreamDemand!$C$12:$AJ$41,COLUMN(DownstreamDemand!AF$11)-2,FALSE)</f>
        <v>18</v>
      </c>
      <c r="P22" s="436">
        <f ca="1">VLOOKUP($B22,DownstreamDemand!$C$12:$AJ$41,COLUMN(DownstreamDemand!AG$11)-2,FALSE)</f>
        <v>30</v>
      </c>
      <c r="Q22" s="437">
        <f ca="1">VLOOKUP($B22,DownstreamDemand!$C$12:$AJ$41,COLUMN(DownstreamDemand!AH$11)-2,FALSE)</f>
        <v>18</v>
      </c>
      <c r="R22" s="437">
        <f ca="1">VLOOKUP($B22,DownstreamDemand!$C$12:$AJ$41,COLUMN(DownstreamDemand!AI$11)-2,FALSE)</f>
        <v>30</v>
      </c>
      <c r="S22" s="439">
        <f ca="1">VLOOKUP($B22,ESG!$C$13:$BJ$42,COLUMN(ESG!BD$12)-2,FALSE)</f>
        <v>25.111111111111111</v>
      </c>
      <c r="T22" s="436">
        <f ca="1">VLOOKUP($B22,ESG!$C$13:$BJ$42,COLUMN(ESG!BE$12)-2,FALSE)</f>
        <v>30</v>
      </c>
      <c r="U22" s="440">
        <f ca="1">VLOOKUP($B22,ESG!$C$13:$BJ$42,COLUMN(ESG!BF$12)-2,FALSE)</f>
        <v>24.889000000000003</v>
      </c>
      <c r="V22" s="437">
        <f ca="1">VLOOKUP($B22,ESG!$C$13:$BJ$42,COLUMN(ESG!BG$12)-2,FALSE)</f>
        <v>30</v>
      </c>
      <c r="W22" s="439">
        <f ca="1">VLOOKUP($B22,III!$C$13:$BC$42,COLUMN(III!AZ$12)-2,FALSE)</f>
        <v>23.112000000000002</v>
      </c>
      <c r="X22" s="436">
        <f ca="1">VLOOKUP($B22,III!$C$13:$BC$42,COLUMN(III!BA$12)-2,FALSE)</f>
        <v>29</v>
      </c>
      <c r="Y22" s="440">
        <f ca="1">VLOOKUP($B22,III!$C$13:$BC$42,COLUMN(III!BB$12)-2,FALSE)</f>
        <v>20.695</v>
      </c>
      <c r="Z22" s="437">
        <f ca="1">VLOOKUP($B22,III!$C$13:$BC$42,COLUMN(III!BC$12)-2,FALSE)</f>
        <v>29</v>
      </c>
    </row>
    <row r="23" spans="1:26">
      <c r="A23" s="21">
        <v>28</v>
      </c>
      <c r="B23" s="434" t="s">
        <v>344</v>
      </c>
      <c r="C23" s="435" cm="1">
        <f t="array" aca="1" ref="C23" ca="1">SUMPRODUCT(--($G$10:$Z$10="Ranking"),--($G$9:$Z$9=C$9),$G23:$Z23,$G$6:$Z$6)</f>
        <v>22.8</v>
      </c>
      <c r="D23" s="436">
        <f t="shared" ca="1" si="1"/>
        <v>28</v>
      </c>
      <c r="E23" s="437" cm="1">
        <f t="array" aca="1" ref="E23" ca="1">SUMPRODUCT(--($G$10:$Z$10="Ranking"),--($G$9:$Z$9=E$9),$G23:$Z23,$G$6:$Z$6)</f>
        <v>22.4</v>
      </c>
      <c r="F23" s="437">
        <f t="shared" ca="1" si="2"/>
        <v>28</v>
      </c>
      <c r="G23" s="435">
        <f ca="1">VLOOKUP($B23,RawMaterials!$C$13:$DN$45,COLUMN(RawMaterials!DJ$12)-2,FALSE)</f>
        <v>3.8</v>
      </c>
      <c r="H23" s="436">
        <f>VLOOKUP($B23,RawMaterials!$C$13:$DN$45,COLUMN(RawMaterials!DK$12)-2,FALSE)</f>
        <v>19</v>
      </c>
      <c r="I23" s="438">
        <f ca="1">VLOOKUP($B23,RawMaterials!$C$13:$DN$45,COLUMN(RawMaterials!DL$12)-2,FALSE)</f>
        <v>4</v>
      </c>
      <c r="J23" s="437">
        <f ca="1">VLOOKUP($B23,RawMaterials!$C$13:$DN$45,COLUMN(RawMaterials!DM$12)-2,FALSE)</f>
        <v>16</v>
      </c>
      <c r="K23" s="435">
        <f ca="1">VLOOKUP($B23,BatteryManufacturing!$C$16:$AY$45,COLUMN(BatteryManufacturing!AU$15)-2,FALSE)</f>
        <v>1</v>
      </c>
      <c r="L23" s="436">
        <f>VLOOKUP($B23,BatteryManufacturing!$C$16:$AY$45,COLUMN(BatteryManufacturing!AV$15)-2,FALSE)</f>
        <v>18</v>
      </c>
      <c r="M23" s="438">
        <f ca="1">VLOOKUP($B23,BatteryManufacturing!$C$16:$AY$45,COLUMN(BatteryManufacturing!AW$15)-2,FALSE)</f>
        <v>1</v>
      </c>
      <c r="N23" s="437">
        <f ca="1">VLOOKUP($B23,BatteryManufacturing!$C$16:$AY$45,COLUMN(BatteryManufacturing!AX$15)-2,FALSE)</f>
        <v>20</v>
      </c>
      <c r="O23" s="436">
        <f ca="1">VLOOKUP($B23,DownstreamDemand!$C$12:$AJ$41,COLUMN(DownstreamDemand!AF$11)-2,FALSE)</f>
        <v>17</v>
      </c>
      <c r="P23" s="436">
        <f ca="1">VLOOKUP($B23,DownstreamDemand!$C$12:$AJ$41,COLUMN(DownstreamDemand!AG$11)-2,FALSE)</f>
        <v>28</v>
      </c>
      <c r="Q23" s="437">
        <f ca="1">VLOOKUP($B23,DownstreamDemand!$C$12:$AJ$41,COLUMN(DownstreamDemand!AH$11)-2,FALSE)</f>
        <v>17.5</v>
      </c>
      <c r="R23" s="437">
        <f ca="1">VLOOKUP($B23,DownstreamDemand!$C$12:$AJ$41,COLUMN(DownstreamDemand!AI$11)-2,FALSE)</f>
        <v>29</v>
      </c>
      <c r="S23" s="439">
        <f ca="1">VLOOKUP($B23,ESG!$C$13:$BJ$42,COLUMN(ESG!BD$12)-2,FALSE)</f>
        <v>22.388888888888889</v>
      </c>
      <c r="T23" s="436">
        <f ca="1">VLOOKUP($B23,ESG!$C$13:$BJ$42,COLUMN(ESG!BE$12)-2,FALSE)</f>
        <v>25</v>
      </c>
      <c r="U23" s="440">
        <f ca="1">VLOOKUP($B23,ESG!$C$13:$BJ$42,COLUMN(ESG!BF$12)-2,FALSE)</f>
        <v>21.278000000000002</v>
      </c>
      <c r="V23" s="437">
        <f ca="1">VLOOKUP($B23,ESG!$C$13:$BJ$42,COLUMN(ESG!BG$12)-2,FALSE)</f>
        <v>22</v>
      </c>
      <c r="W23" s="439">
        <f ca="1">VLOOKUP($B23,III!$C$13:$BC$42,COLUMN(III!AZ$12)-2,FALSE)</f>
        <v>18.389000000000003</v>
      </c>
      <c r="X23" s="436">
        <f ca="1">VLOOKUP($B23,III!$C$13:$BC$42,COLUMN(III!BA$12)-2,FALSE)</f>
        <v>24</v>
      </c>
      <c r="Y23" s="440">
        <f ca="1">VLOOKUP($B23,III!$C$13:$BC$42,COLUMN(III!BB$12)-2,FALSE)</f>
        <v>18.417000000000002</v>
      </c>
      <c r="Z23" s="437">
        <f ca="1">VLOOKUP($B23,III!$C$13:$BC$42,COLUMN(III!BC$12)-2,FALSE)</f>
        <v>25</v>
      </c>
    </row>
    <row r="24" spans="1:26">
      <c r="A24" s="21">
        <v>22</v>
      </c>
      <c r="B24" s="434" t="s">
        <v>32</v>
      </c>
      <c r="C24" s="435" cm="1">
        <f t="array" aca="1" ref="C24" ca="1">SUMPRODUCT(--($G$10:$Z$10="Ranking"),--($G$9:$Z$9=C$9),$G24:$Z24,$G$6:$Z$6)</f>
        <v>17.600000000000001</v>
      </c>
      <c r="D24" s="436">
        <f t="shared" ca="1" si="1"/>
        <v>20</v>
      </c>
      <c r="E24" s="437" cm="1">
        <f t="array" aca="1" ref="E24" ca="1">SUMPRODUCT(--($G$10:$Z$10="Ranking"),--($G$9:$Z$9=E$9),$G24:$Z24,$G$6:$Z$6)</f>
        <v>18.600000000000001</v>
      </c>
      <c r="F24" s="437">
        <f t="shared" ca="1" si="2"/>
        <v>22</v>
      </c>
      <c r="G24" s="435">
        <f ca="1">VLOOKUP($B24,RawMaterials!$C$13:$DN$45,COLUMN(RawMaterials!DJ$12)-2,FALSE)</f>
        <v>5.4</v>
      </c>
      <c r="H24" s="436">
        <f>VLOOKUP($B24,RawMaterials!$C$13:$DN$45,COLUMN(RawMaterials!DK$12)-2,FALSE)</f>
        <v>8</v>
      </c>
      <c r="I24" s="438">
        <f ca="1">VLOOKUP($B24,RawMaterials!$C$13:$DN$45,COLUMN(RawMaterials!DL$12)-2,FALSE)</f>
        <v>6.4</v>
      </c>
      <c r="J24" s="437">
        <f ca="1">VLOOKUP($B24,RawMaterials!$C$13:$DN$45,COLUMN(RawMaterials!DM$12)-2,FALSE)</f>
        <v>6</v>
      </c>
      <c r="K24" s="435">
        <f ca="1">VLOOKUP($B24,BatteryManufacturing!$C$16:$AY$45,COLUMN(BatteryManufacturing!AU$15)-2,FALSE)</f>
        <v>1</v>
      </c>
      <c r="L24" s="436">
        <f>VLOOKUP($B24,BatteryManufacturing!$C$16:$AY$45,COLUMN(BatteryManufacturing!AV$15)-2,FALSE)</f>
        <v>18</v>
      </c>
      <c r="M24" s="438">
        <f ca="1">VLOOKUP($B24,BatteryManufacturing!$C$16:$AY$45,COLUMN(BatteryManufacturing!AW$15)-2,FALSE)</f>
        <v>1</v>
      </c>
      <c r="N24" s="437">
        <f ca="1">VLOOKUP($B24,BatteryManufacturing!$C$16:$AY$45,COLUMN(BatteryManufacturing!AX$15)-2,FALSE)</f>
        <v>20</v>
      </c>
      <c r="O24" s="436">
        <f ca="1">VLOOKUP($B24,DownstreamDemand!$C$12:$AJ$41,COLUMN(DownstreamDemand!AF$11)-2,FALSE)</f>
        <v>16</v>
      </c>
      <c r="P24" s="436">
        <f ca="1">VLOOKUP($B24,DownstreamDemand!$C$12:$AJ$41,COLUMN(DownstreamDemand!AG$11)-2,FALSE)</f>
        <v>26</v>
      </c>
      <c r="Q24" s="437">
        <f ca="1">VLOOKUP($B24,DownstreamDemand!$C$12:$AJ$41,COLUMN(DownstreamDemand!AH$11)-2,FALSE)</f>
        <v>16</v>
      </c>
      <c r="R24" s="437">
        <f ca="1">VLOOKUP($B24,DownstreamDemand!$C$12:$AJ$41,COLUMN(DownstreamDemand!AI$11)-2,FALSE)</f>
        <v>26</v>
      </c>
      <c r="S24" s="439">
        <f ca="1">VLOOKUP($B24,ESG!$C$13:$BJ$42,COLUMN(ESG!BD$12)-2,FALSE)</f>
        <v>19.277777777777775</v>
      </c>
      <c r="T24" s="436">
        <f ca="1">VLOOKUP($B24,ESG!$C$13:$BJ$42,COLUMN(ESG!BE$12)-2,FALSE)</f>
        <v>19</v>
      </c>
      <c r="U24" s="440">
        <f ca="1">VLOOKUP($B24,ESG!$C$13:$BJ$42,COLUMN(ESG!BF$12)-2,FALSE)</f>
        <v>16.445</v>
      </c>
      <c r="V24" s="437">
        <f ca="1">VLOOKUP($B24,ESG!$C$13:$BJ$42,COLUMN(ESG!BG$12)-2,FALSE)</f>
        <v>17</v>
      </c>
      <c r="W24" s="439">
        <f ca="1">VLOOKUP($B24,III!$C$13:$BC$42,COLUMN(III!AZ$12)-2,FALSE)</f>
        <v>16.723000000000003</v>
      </c>
      <c r="X24" s="436">
        <f ca="1">VLOOKUP($B24,III!$C$13:$BC$42,COLUMN(III!BA$12)-2,FALSE)</f>
        <v>17</v>
      </c>
      <c r="Y24" s="440">
        <f ca="1">VLOOKUP($B24,III!$C$13:$BC$42,COLUMN(III!BB$12)-2,FALSE)</f>
        <v>18.195</v>
      </c>
      <c r="Z24" s="437">
        <f ca="1">VLOOKUP($B24,III!$C$13:$BC$42,COLUMN(III!BC$12)-2,FALSE)</f>
        <v>24</v>
      </c>
    </row>
    <row r="25" spans="1:26">
      <c r="A25" s="21">
        <v>1</v>
      </c>
      <c r="B25" s="434" t="s">
        <v>29</v>
      </c>
      <c r="C25" s="435" cm="1">
        <f t="array" aca="1" ref="C25" ca="1">SUMPRODUCT(--($G$10:$Z$10="Ranking"),--($G$9:$Z$9=C$9),$G25:$Z25,$G$6:$Z$6)</f>
        <v>6.2</v>
      </c>
      <c r="D25" s="436">
        <f t="shared" ca="1" si="1"/>
        <v>2</v>
      </c>
      <c r="E25" s="437" cm="1">
        <f t="array" aca="1" ref="E25" ca="1">SUMPRODUCT(--($G$10:$Z$10="Ranking"),--($G$9:$Z$9=E$9),$G25:$Z25,$G$6:$Z$6)</f>
        <v>4.8000000000000007</v>
      </c>
      <c r="F25" s="437">
        <f t="shared" ca="1" si="2"/>
        <v>1</v>
      </c>
      <c r="G25" s="435">
        <f ca="1">VLOOKUP($B25,RawMaterials!$C$13:$DN$45,COLUMN(RawMaterials!DJ$12)-2,FALSE)</f>
        <v>8</v>
      </c>
      <c r="H25" s="436">
        <f>VLOOKUP($B25,RawMaterials!$C$13:$DN$45,COLUMN(RawMaterials!DK$12)-2,FALSE)</f>
        <v>3</v>
      </c>
      <c r="I25" s="438">
        <f ca="1">VLOOKUP($B25,RawMaterials!$C$13:$DN$45,COLUMN(RawMaterials!DL$12)-2,FALSE)</f>
        <v>8</v>
      </c>
      <c r="J25" s="437">
        <f ca="1">VLOOKUP($B25,RawMaterials!$C$13:$DN$45,COLUMN(RawMaterials!DM$12)-2,FALSE)</f>
        <v>3</v>
      </c>
      <c r="K25" s="435">
        <f ca="1">VLOOKUP($B25,BatteryManufacturing!$C$16:$AY$45,COLUMN(BatteryManufacturing!AU$15)-2,FALSE)</f>
        <v>1.4289999999999998</v>
      </c>
      <c r="L25" s="436">
        <f>VLOOKUP($B25,BatteryManufacturing!$C$16:$AY$45,COLUMN(BatteryManufacturing!AV$15)-2,FALSE)</f>
        <v>8</v>
      </c>
      <c r="M25" s="438">
        <f ca="1">VLOOKUP($B25,BatteryManufacturing!$C$16:$AY$45,COLUMN(BatteryManufacturing!AW$15)-2,FALSE)</f>
        <v>1.8579999999999999</v>
      </c>
      <c r="N25" s="437">
        <f ca="1">VLOOKUP($B25,BatteryManufacturing!$C$16:$AY$45,COLUMN(BatteryManufacturing!AX$15)-2,FALSE)</f>
        <v>6</v>
      </c>
      <c r="O25" s="436">
        <f ca="1">VLOOKUP($B25,DownstreamDemand!$C$12:$AJ$41,COLUMN(DownstreamDemand!AF$11)-2,FALSE)</f>
        <v>6.5</v>
      </c>
      <c r="P25" s="436">
        <f ca="1">VLOOKUP($B25,DownstreamDemand!$C$12:$AJ$41,COLUMN(DownstreamDemand!AG$11)-2,FALSE)</f>
        <v>10</v>
      </c>
      <c r="Q25" s="437">
        <f ca="1">VLOOKUP($B25,DownstreamDemand!$C$12:$AJ$41,COLUMN(DownstreamDemand!AH$11)-2,FALSE)</f>
        <v>5</v>
      </c>
      <c r="R25" s="437">
        <f ca="1">VLOOKUP($B25,DownstreamDemand!$C$12:$AJ$41,COLUMN(DownstreamDemand!AI$11)-2,FALSE)</f>
        <v>7</v>
      </c>
      <c r="S25" s="439">
        <f ca="1">VLOOKUP($B25,ESG!$C$13:$BJ$42,COLUMN(ESG!BD$12)-2,FALSE)</f>
        <v>8.2222222222222214</v>
      </c>
      <c r="T25" s="436">
        <f ca="1">VLOOKUP($B25,ESG!$C$13:$BJ$42,COLUMN(ESG!BE$12)-2,FALSE)</f>
        <v>6</v>
      </c>
      <c r="U25" s="440">
        <f ca="1">VLOOKUP($B25,ESG!$C$13:$BJ$42,COLUMN(ESG!BF$12)-2,FALSE)</f>
        <v>8.9450000000000003</v>
      </c>
      <c r="V25" s="437">
        <f ca="1">VLOOKUP($B25,ESG!$C$13:$BJ$42,COLUMN(ESG!BG$12)-2,FALSE)</f>
        <v>6</v>
      </c>
      <c r="W25" s="439">
        <f ca="1">VLOOKUP($B25,III!$C$13:$BC$42,COLUMN(III!AZ$12)-2,FALSE)</f>
        <v>9.5</v>
      </c>
      <c r="X25" s="436">
        <f ca="1">VLOOKUP($B25,III!$C$13:$BC$42,COLUMN(III!BA$12)-2,FALSE)</f>
        <v>4</v>
      </c>
      <c r="Y25" s="440">
        <f ca="1">VLOOKUP($B25,III!$C$13:$BC$42,COLUMN(III!BB$12)-2,FALSE)</f>
        <v>8.1120000000000001</v>
      </c>
      <c r="Z25" s="437">
        <f ca="1">VLOOKUP($B25,III!$C$13:$BC$42,COLUMN(III!BC$12)-2,FALSE)</f>
        <v>2</v>
      </c>
    </row>
    <row r="26" spans="1:26">
      <c r="A26" s="21">
        <v>19</v>
      </c>
      <c r="B26" s="434" t="s">
        <v>12</v>
      </c>
      <c r="C26" s="435" cm="1">
        <f t="array" aca="1" ref="C26" ca="1">SUMPRODUCT(--($G$10:$Z$10="Ranking"),--($G$9:$Z$9=C$9),$G26:$Z26,$G$6:$Z$6)</f>
        <v>22.000000000000004</v>
      </c>
      <c r="D26" s="436">
        <f t="shared" ca="1" si="1"/>
        <v>27</v>
      </c>
      <c r="E26" s="437" cm="1">
        <f t="array" aca="1" ref="E26" ca="1">SUMPRODUCT(--($G$10:$Z$10="Ranking"),--($G$9:$Z$9=E$9),$G26:$Z26,$G$6:$Z$6)</f>
        <v>17.8</v>
      </c>
      <c r="F26" s="437">
        <f t="shared" ca="1" si="2"/>
        <v>20</v>
      </c>
      <c r="G26" s="435">
        <f ca="1">VLOOKUP($B26,RawMaterials!$C$13:$DN$45,COLUMN(RawMaterials!DJ$12)-2,FALSE)</f>
        <v>4.5999999999999996</v>
      </c>
      <c r="H26" s="436">
        <f>VLOOKUP($B26,RawMaterials!$C$13:$DN$45,COLUMN(RawMaterials!DK$12)-2,FALSE)</f>
        <v>16</v>
      </c>
      <c r="I26" s="438">
        <f ca="1">VLOOKUP($B26,RawMaterials!$C$13:$DN$45,COLUMN(RawMaterials!DL$12)-2,FALSE)</f>
        <v>5.4</v>
      </c>
      <c r="J26" s="437">
        <f ca="1">VLOOKUP($B26,RawMaterials!$C$13:$DN$45,COLUMN(RawMaterials!DM$12)-2,FALSE)</f>
        <v>8</v>
      </c>
      <c r="K26" s="435">
        <f ca="1">VLOOKUP($B26,BatteryManufacturing!$C$16:$AY$45,COLUMN(BatteryManufacturing!AU$15)-2,FALSE)</f>
        <v>1</v>
      </c>
      <c r="L26" s="436">
        <f>VLOOKUP($B26,BatteryManufacturing!$C$16:$AY$45,COLUMN(BatteryManufacturing!AV$15)-2,FALSE)</f>
        <v>18</v>
      </c>
      <c r="M26" s="438">
        <f ca="1">VLOOKUP($B26,BatteryManufacturing!$C$16:$AY$45,COLUMN(BatteryManufacturing!AW$15)-2,FALSE)</f>
        <v>1.2859999999999998</v>
      </c>
      <c r="N26" s="437">
        <f ca="1">VLOOKUP($B26,BatteryManufacturing!$C$16:$AY$45,COLUMN(BatteryManufacturing!AX$15)-2,FALSE)</f>
        <v>15</v>
      </c>
      <c r="O26" s="436">
        <f ca="1">VLOOKUP($B26,DownstreamDemand!$C$12:$AJ$41,COLUMN(DownstreamDemand!AF$11)-2,FALSE)</f>
        <v>13</v>
      </c>
      <c r="P26" s="436">
        <f ca="1">VLOOKUP($B26,DownstreamDemand!$C$12:$AJ$41,COLUMN(DownstreamDemand!AG$11)-2,FALSE)</f>
        <v>23</v>
      </c>
      <c r="Q26" s="437">
        <f ca="1">VLOOKUP($B26,DownstreamDemand!$C$12:$AJ$41,COLUMN(DownstreamDemand!AH$11)-2,FALSE)</f>
        <v>11</v>
      </c>
      <c r="R26" s="437">
        <f ca="1">VLOOKUP($B26,DownstreamDemand!$C$12:$AJ$41,COLUMN(DownstreamDemand!AI$11)-2,FALSE)</f>
        <v>19</v>
      </c>
      <c r="S26" s="439">
        <f ca="1">VLOOKUP($B26,ESG!$C$13:$BJ$42,COLUMN(ESG!BD$12)-2,FALSE)</f>
        <v>23.111111111111107</v>
      </c>
      <c r="T26" s="436">
        <f ca="1">VLOOKUP($B26,ESG!$C$13:$BJ$42,COLUMN(ESG!BE$12)-2,FALSE)</f>
        <v>27</v>
      </c>
      <c r="U26" s="440">
        <f ca="1">VLOOKUP($B26,ESG!$C$13:$BJ$42,COLUMN(ESG!BF$12)-2,FALSE)</f>
        <v>21.834</v>
      </c>
      <c r="V26" s="437">
        <f ca="1">VLOOKUP($B26,ESG!$C$13:$BJ$42,COLUMN(ESG!BG$12)-2,FALSE)</f>
        <v>24</v>
      </c>
      <c r="W26" s="439">
        <f ca="1">VLOOKUP($B26,III!$C$13:$BC$42,COLUMN(III!AZ$12)-2,FALSE)</f>
        <v>19.556000000000001</v>
      </c>
      <c r="X26" s="436">
        <f ca="1">VLOOKUP($B26,III!$C$13:$BC$42,COLUMN(III!BA$12)-2,FALSE)</f>
        <v>26</v>
      </c>
      <c r="Y26" s="440">
        <f ca="1">VLOOKUP($B26,III!$C$13:$BC$42,COLUMN(III!BB$12)-2,FALSE)</f>
        <v>17.667000000000002</v>
      </c>
      <c r="Z26" s="437">
        <f ca="1">VLOOKUP($B26,III!$C$13:$BC$42,COLUMN(III!BC$12)-2,FALSE)</f>
        <v>23</v>
      </c>
    </row>
    <row r="27" spans="1:26">
      <c r="A27" s="21">
        <v>3</v>
      </c>
      <c r="B27" s="434" t="s">
        <v>345</v>
      </c>
      <c r="C27" s="435" cm="1">
        <f t="array" aca="1" ref="C27" ca="1">SUMPRODUCT(--($G$10:$Z$10="Ranking"),--($G$9:$Z$9=C$9),$G27:$Z27,$G$6:$Z$6)</f>
        <v>6.6</v>
      </c>
      <c r="D27" s="436">
        <f t="shared" ca="1" si="1"/>
        <v>3</v>
      </c>
      <c r="E27" s="437" cm="1">
        <f t="array" aca="1" ref="E27" ca="1">SUMPRODUCT(--($G$10:$Z$10="Ranking"),--($G$9:$Z$9=E$9),$G27:$Z27,$G$6:$Z$6)</f>
        <v>7.2</v>
      </c>
      <c r="F27" s="437">
        <f t="shared" ca="1" si="2"/>
        <v>3</v>
      </c>
      <c r="G27" s="435">
        <f ca="1">VLOOKUP($B27,RawMaterials!$C$13:$DN$45,COLUMN(RawMaterials!DJ$12)-2,FALSE)</f>
        <v>5.6</v>
      </c>
      <c r="H27" s="436">
        <f>VLOOKUP($B27,RawMaterials!$C$13:$DN$45,COLUMN(RawMaterials!DK$12)-2,FALSE)</f>
        <v>6</v>
      </c>
      <c r="I27" s="438">
        <f ca="1">VLOOKUP($B27,RawMaterials!$C$13:$DN$45,COLUMN(RawMaterials!DL$12)-2,FALSE)</f>
        <v>5</v>
      </c>
      <c r="J27" s="437">
        <f ca="1">VLOOKUP($B27,RawMaterials!$C$13:$DN$45,COLUMN(RawMaterials!DM$12)-2,FALSE)</f>
        <v>10</v>
      </c>
      <c r="K27" s="435">
        <f ca="1">VLOOKUP($B27,BatteryManufacturing!$C$16:$AY$45,COLUMN(BatteryManufacturing!AU$15)-2,FALSE)</f>
        <v>2.8580000000000001</v>
      </c>
      <c r="L27" s="436">
        <f>VLOOKUP($B27,BatteryManufacturing!$C$16:$AY$45,COLUMN(BatteryManufacturing!AV$15)-2,FALSE)</f>
        <v>4</v>
      </c>
      <c r="M27" s="438">
        <f ca="1">VLOOKUP($B27,BatteryManufacturing!$C$16:$AY$45,COLUMN(BatteryManufacturing!AW$15)-2,FALSE)</f>
        <v>3.4289999999999998</v>
      </c>
      <c r="N27" s="437">
        <f ca="1">VLOOKUP($B27,BatteryManufacturing!$C$16:$AY$45,COLUMN(BatteryManufacturing!AX$15)-2,FALSE)</f>
        <v>3</v>
      </c>
      <c r="O27" s="436">
        <f ca="1">VLOOKUP($B27,DownstreamDemand!$C$12:$AJ$41,COLUMN(DownstreamDemand!AF$11)-2,FALSE)</f>
        <v>2.5</v>
      </c>
      <c r="P27" s="436">
        <f ca="1">VLOOKUP($B27,DownstreamDemand!$C$12:$AJ$41,COLUMN(DownstreamDemand!AG$11)-2,FALSE)</f>
        <v>2</v>
      </c>
      <c r="Q27" s="437">
        <f ca="1">VLOOKUP($B27,DownstreamDemand!$C$12:$AJ$41,COLUMN(DownstreamDemand!AH$11)-2,FALSE)</f>
        <v>2.5</v>
      </c>
      <c r="R27" s="437">
        <f ca="1">VLOOKUP($B27,DownstreamDemand!$C$12:$AJ$41,COLUMN(DownstreamDemand!AI$11)-2,FALSE)</f>
        <v>2</v>
      </c>
      <c r="S27" s="439">
        <f ca="1">VLOOKUP($B27,ESG!$C$13:$BJ$42,COLUMN(ESG!BD$12)-2,FALSE)</f>
        <v>14.222222222222221</v>
      </c>
      <c r="T27" s="436">
        <f ca="1">VLOOKUP($B27,ESG!$C$13:$BJ$42,COLUMN(ESG!BE$12)-2,FALSE)</f>
        <v>16</v>
      </c>
      <c r="U27" s="440">
        <f ca="1">VLOOKUP($B27,ESG!$C$13:$BJ$42,COLUMN(ESG!BF$12)-2,FALSE)</f>
        <v>14.112</v>
      </c>
      <c r="V27" s="437">
        <f ca="1">VLOOKUP($B27,ESG!$C$13:$BJ$42,COLUMN(ESG!BG$12)-2,FALSE)</f>
        <v>15</v>
      </c>
      <c r="W27" s="439">
        <f ca="1">VLOOKUP($B27,III!$C$13:$BC$42,COLUMN(III!AZ$12)-2,FALSE)</f>
        <v>9.722999999999999</v>
      </c>
      <c r="X27" s="436">
        <f ca="1">VLOOKUP($B27,III!$C$13:$BC$42,COLUMN(III!BA$12)-2,FALSE)</f>
        <v>5</v>
      </c>
      <c r="Y27" s="440">
        <f ca="1">VLOOKUP($B27,III!$C$13:$BC$42,COLUMN(III!BB$12)-2,FALSE)</f>
        <v>10.527999999999999</v>
      </c>
      <c r="Z27" s="437">
        <f ca="1">VLOOKUP($B27,III!$C$13:$BC$42,COLUMN(III!BC$12)-2,FALSE)</f>
        <v>6</v>
      </c>
    </row>
    <row r="28" spans="1:26">
      <c r="A28" s="21">
        <v>25</v>
      </c>
      <c r="B28" s="434" t="s">
        <v>59</v>
      </c>
      <c r="C28" s="435" cm="1">
        <f t="array" aca="1" ref="C28" ca="1">SUMPRODUCT(--($G$10:$Z$10="Ranking"),--($G$9:$Z$9=C$9),$G28:$Z28,$G$6:$Z$6)</f>
        <v>19.600000000000001</v>
      </c>
      <c r="D28" s="436">
        <f t="shared" ca="1" si="1"/>
        <v>23</v>
      </c>
      <c r="E28" s="437" cm="1">
        <f t="array" aca="1" ref="E28" ca="1">SUMPRODUCT(--($G$10:$Z$10="Ranking"),--($G$9:$Z$9=E$9),$G28:$Z28,$G$6:$Z$6)</f>
        <v>21</v>
      </c>
      <c r="F28" s="437">
        <f t="shared" ca="1" si="2"/>
        <v>25</v>
      </c>
      <c r="G28" s="435">
        <f ca="1">VLOOKUP($B28,RawMaterials!$C$13:$DN$45,COLUMN(RawMaterials!DJ$12)-2,FALSE)</f>
        <v>5</v>
      </c>
      <c r="H28" s="436">
        <f>VLOOKUP($B28,RawMaterials!$C$13:$DN$45,COLUMN(RawMaterials!DK$12)-2,FALSE)</f>
        <v>11</v>
      </c>
      <c r="I28" s="438">
        <f ca="1">VLOOKUP($B28,RawMaterials!$C$13:$DN$45,COLUMN(RawMaterials!DL$12)-2,FALSE)</f>
        <v>4.4000000000000004</v>
      </c>
      <c r="J28" s="437">
        <f ca="1">VLOOKUP($B28,RawMaterials!$C$13:$DN$45,COLUMN(RawMaterials!DM$12)-2,FALSE)</f>
        <v>14</v>
      </c>
      <c r="K28" s="435">
        <f ca="1">VLOOKUP($B28,BatteryManufacturing!$C$16:$AY$45,COLUMN(BatteryManufacturing!AU$15)-2,FALSE)</f>
        <v>1</v>
      </c>
      <c r="L28" s="436">
        <f>VLOOKUP($B28,BatteryManufacturing!$C$16:$AY$45,COLUMN(BatteryManufacturing!AV$15)-2,FALSE)</f>
        <v>18</v>
      </c>
      <c r="M28" s="438">
        <f ca="1">VLOOKUP($B28,BatteryManufacturing!$C$16:$AY$45,COLUMN(BatteryManufacturing!AW$15)-2,FALSE)</f>
        <v>1</v>
      </c>
      <c r="N28" s="437">
        <f ca="1">VLOOKUP($B28,BatteryManufacturing!$C$16:$AY$45,COLUMN(BatteryManufacturing!AX$15)-2,FALSE)</f>
        <v>20</v>
      </c>
      <c r="O28" s="436">
        <f ca="1">VLOOKUP($B28,DownstreamDemand!$C$12:$AJ$41,COLUMN(DownstreamDemand!AF$11)-2,FALSE)</f>
        <v>16</v>
      </c>
      <c r="P28" s="436">
        <f ca="1">VLOOKUP($B28,DownstreamDemand!$C$12:$AJ$41,COLUMN(DownstreamDemand!AG$11)-2,FALSE)</f>
        <v>26</v>
      </c>
      <c r="Q28" s="437">
        <f ca="1">VLOOKUP($B28,DownstreamDemand!$C$12:$AJ$41,COLUMN(DownstreamDemand!AH$11)-2,FALSE)</f>
        <v>16</v>
      </c>
      <c r="R28" s="437">
        <f ca="1">VLOOKUP($B28,DownstreamDemand!$C$12:$AJ$41,COLUMN(DownstreamDemand!AI$11)-2,FALSE)</f>
        <v>26</v>
      </c>
      <c r="S28" s="439">
        <f ca="1">VLOOKUP($B28,ESG!$C$13:$BJ$42,COLUMN(ESG!BD$12)-2,FALSE)</f>
        <v>19.055555555555557</v>
      </c>
      <c r="T28" s="436">
        <f ca="1">VLOOKUP($B28,ESG!$C$13:$BJ$42,COLUMN(ESG!BE$12)-2,FALSE)</f>
        <v>18</v>
      </c>
      <c r="U28" s="440">
        <f ca="1">VLOOKUP($B28,ESG!$C$13:$BJ$42,COLUMN(ESG!BF$12)-2,FALSE)</f>
        <v>18.889000000000003</v>
      </c>
      <c r="V28" s="437">
        <f ca="1">VLOOKUP($B28,ESG!$C$13:$BJ$42,COLUMN(ESG!BG$12)-2,FALSE)</f>
        <v>18</v>
      </c>
      <c r="W28" s="439">
        <f ca="1">VLOOKUP($B28,III!$C$13:$BC$42,COLUMN(III!AZ$12)-2,FALSE)</f>
        <v>19.278000000000002</v>
      </c>
      <c r="X28" s="436">
        <f ca="1">VLOOKUP($B28,III!$C$13:$BC$42,COLUMN(III!BA$12)-2,FALSE)</f>
        <v>25</v>
      </c>
      <c r="Y28" s="440">
        <f ca="1">VLOOKUP($B28,III!$C$13:$BC$42,COLUMN(III!BB$12)-2,FALSE)</f>
        <v>19.667000000000002</v>
      </c>
      <c r="Z28" s="437">
        <f ca="1">VLOOKUP($B28,III!$C$13:$BC$42,COLUMN(III!BC$12)-2,FALSE)</f>
        <v>27</v>
      </c>
    </row>
    <row r="29" spans="1:26">
      <c r="A29" s="21">
        <v>30</v>
      </c>
      <c r="B29" s="434" t="s">
        <v>346</v>
      </c>
      <c r="C29" s="435" cm="1">
        <f t="array" aca="1" ref="C29" ca="1">SUMPRODUCT(--($G$10:$Z$10="Ranking"),--($G$9:$Z$9=C$9),$G29:$Z29,$G$6:$Z$6)</f>
        <v>26.000000000000004</v>
      </c>
      <c r="D29" s="436">
        <f t="shared" ca="1" si="1"/>
        <v>30</v>
      </c>
      <c r="E29" s="437" cm="1">
        <f t="array" aca="1" ref="E29" ca="1">SUMPRODUCT(--($G$10:$Z$10="Ranking"),--($G$9:$Z$9=E$9),$G29:$Z29,$G$6:$Z$6)</f>
        <v>24.6</v>
      </c>
      <c r="F29" s="437">
        <f t="shared" ca="1" si="2"/>
        <v>30</v>
      </c>
      <c r="G29" s="435">
        <f ca="1">VLOOKUP($B29,RawMaterials!$C$13:$DN$45,COLUMN(RawMaterials!DJ$12)-2,FALSE)</f>
        <v>3</v>
      </c>
      <c r="H29" s="436">
        <f>VLOOKUP($B29,RawMaterials!$C$13:$DN$45,COLUMN(RawMaterials!DK$12)-2,FALSE)</f>
        <v>26</v>
      </c>
      <c r="I29" s="438">
        <f ca="1">VLOOKUP($B29,RawMaterials!$C$13:$DN$45,COLUMN(RawMaterials!DL$12)-2,FALSE)</f>
        <v>2.8</v>
      </c>
      <c r="J29" s="437">
        <f ca="1">VLOOKUP($B29,RawMaterials!$C$13:$DN$45,COLUMN(RawMaterials!DM$12)-2,FALSE)</f>
        <v>24</v>
      </c>
      <c r="K29" s="435">
        <f ca="1">VLOOKUP($B29,BatteryManufacturing!$C$16:$AY$45,COLUMN(BatteryManufacturing!AU$15)-2,FALSE)</f>
        <v>1</v>
      </c>
      <c r="L29" s="436">
        <f>VLOOKUP($B29,BatteryManufacturing!$C$16:$AY$45,COLUMN(BatteryManufacturing!AV$15)-2,FALSE)</f>
        <v>18</v>
      </c>
      <c r="M29" s="438">
        <f ca="1">VLOOKUP($B29,BatteryManufacturing!$C$16:$AY$45,COLUMN(BatteryManufacturing!AW$15)-2,FALSE)</f>
        <v>1</v>
      </c>
      <c r="N29" s="437">
        <f ca="1">VLOOKUP($B29,BatteryManufacturing!$C$16:$AY$45,COLUMN(BatteryManufacturing!AX$15)-2,FALSE)</f>
        <v>20</v>
      </c>
      <c r="O29" s="436">
        <f ca="1">VLOOKUP($B29,DownstreamDemand!$C$12:$AJ$41,COLUMN(DownstreamDemand!AF$11)-2,FALSE)</f>
        <v>17</v>
      </c>
      <c r="P29" s="436">
        <f ca="1">VLOOKUP($B29,DownstreamDemand!$C$12:$AJ$41,COLUMN(DownstreamDemand!AG$11)-2,FALSE)</f>
        <v>28</v>
      </c>
      <c r="Q29" s="437">
        <f ca="1">VLOOKUP($B29,DownstreamDemand!$C$12:$AJ$41,COLUMN(DownstreamDemand!AH$11)-2,FALSE)</f>
        <v>16.5</v>
      </c>
      <c r="R29" s="437">
        <f ca="1">VLOOKUP($B29,DownstreamDemand!$C$12:$AJ$41,COLUMN(DownstreamDemand!AI$11)-2,FALSE)</f>
        <v>28</v>
      </c>
      <c r="S29" s="439">
        <f ca="1">VLOOKUP($B29,ESG!$C$13:$BJ$42,COLUMN(ESG!BD$12)-2,FALSE)</f>
        <v>23.888888888888889</v>
      </c>
      <c r="T29" s="436">
        <f ca="1">VLOOKUP($B29,ESG!$C$13:$BJ$42,COLUMN(ESG!BE$12)-2,FALSE)</f>
        <v>28</v>
      </c>
      <c r="U29" s="440">
        <f ca="1">VLOOKUP($B29,ESG!$C$13:$BJ$42,COLUMN(ESG!BF$12)-2,FALSE)</f>
        <v>20.389000000000003</v>
      </c>
      <c r="V29" s="437">
        <f ca="1">VLOOKUP($B29,ESG!$C$13:$BJ$42,COLUMN(ESG!BG$12)-2,FALSE)</f>
        <v>21</v>
      </c>
      <c r="W29" s="439">
        <f ca="1">VLOOKUP($B29,III!$C$13:$BC$42,COLUMN(III!AZ$12)-2,FALSE)</f>
        <v>23.667000000000002</v>
      </c>
      <c r="X29" s="436">
        <f ca="1">VLOOKUP($B29,III!$C$13:$BC$42,COLUMN(III!BA$12)-2,FALSE)</f>
        <v>30</v>
      </c>
      <c r="Y29" s="440">
        <f ca="1">VLOOKUP($B29,III!$C$13:$BC$42,COLUMN(III!BB$12)-2,FALSE)</f>
        <v>25.584</v>
      </c>
      <c r="Z29" s="437">
        <f ca="1">VLOOKUP($B29,III!$C$13:$BC$42,COLUMN(III!BC$12)-2,FALSE)</f>
        <v>30</v>
      </c>
    </row>
    <row r="30" spans="1:26">
      <c r="A30" s="21">
        <v>21</v>
      </c>
      <c r="B30" s="434" t="s">
        <v>11</v>
      </c>
      <c r="C30" s="435" cm="1">
        <f t="array" aca="1" ref="C30" ca="1">SUMPRODUCT(--($G$10:$Z$10="Ranking"),--($G$9:$Z$9=C$9),$G30:$Z30,$G$6:$Z$6)</f>
        <v>18.200000000000003</v>
      </c>
      <c r="D30" s="436">
        <f t="shared" ca="1" si="1"/>
        <v>21</v>
      </c>
      <c r="E30" s="437" cm="1">
        <f t="array" aca="1" ref="E30" ca="1">SUMPRODUCT(--($G$10:$Z$10="Ranking"),--($G$9:$Z$9=E$9),$G30:$Z30,$G$6:$Z$6)</f>
        <v>18</v>
      </c>
      <c r="F30" s="437">
        <f t="shared" ca="1" si="2"/>
        <v>21</v>
      </c>
      <c r="G30" s="435">
        <f ca="1">VLOOKUP($B30,RawMaterials!$C$13:$DN$45,COLUMN(RawMaterials!DJ$12)-2,FALSE)</f>
        <v>7.4</v>
      </c>
      <c r="H30" s="436">
        <f>VLOOKUP($B30,RawMaterials!$C$13:$DN$45,COLUMN(RawMaterials!DK$12)-2,FALSE)</f>
        <v>4</v>
      </c>
      <c r="I30" s="438">
        <f ca="1">VLOOKUP($B30,RawMaterials!$C$13:$DN$45,COLUMN(RawMaterials!DL$12)-2,FALSE)</f>
        <v>7.6</v>
      </c>
      <c r="J30" s="437">
        <f ca="1">VLOOKUP($B30,RawMaterials!$C$13:$DN$45,COLUMN(RawMaterials!DM$12)-2,FALSE)</f>
        <v>4</v>
      </c>
      <c r="K30" s="435">
        <f ca="1">VLOOKUP($B30,BatteryManufacturing!$C$16:$AY$45,COLUMN(BatteryManufacturing!AU$15)-2,FALSE)</f>
        <v>1</v>
      </c>
      <c r="L30" s="436">
        <f>VLOOKUP($B30,BatteryManufacturing!$C$16:$AY$45,COLUMN(BatteryManufacturing!AV$15)-2,FALSE)</f>
        <v>18</v>
      </c>
      <c r="M30" s="438">
        <f ca="1">VLOOKUP($B30,BatteryManufacturing!$C$16:$AY$45,COLUMN(BatteryManufacturing!AW$15)-2,FALSE)</f>
        <v>1</v>
      </c>
      <c r="N30" s="437">
        <f ca="1">VLOOKUP($B30,BatteryManufacturing!$C$16:$AY$45,COLUMN(BatteryManufacturing!AX$15)-2,FALSE)</f>
        <v>20</v>
      </c>
      <c r="O30" s="436">
        <f ca="1">VLOOKUP($B30,DownstreamDemand!$C$12:$AJ$41,COLUMN(DownstreamDemand!AF$11)-2,FALSE)</f>
        <v>12</v>
      </c>
      <c r="P30" s="436">
        <f ca="1">VLOOKUP($B30,DownstreamDemand!$C$12:$AJ$41,COLUMN(DownstreamDemand!AG$11)-2,FALSE)</f>
        <v>20</v>
      </c>
      <c r="Q30" s="437">
        <f ca="1">VLOOKUP($B30,DownstreamDemand!$C$12:$AJ$41,COLUMN(DownstreamDemand!AH$11)-2,FALSE)</f>
        <v>10.5</v>
      </c>
      <c r="R30" s="437">
        <f ca="1">VLOOKUP($B30,DownstreamDemand!$C$12:$AJ$41,COLUMN(DownstreamDemand!AI$11)-2,FALSE)</f>
        <v>17</v>
      </c>
      <c r="S30" s="439">
        <f ca="1">VLOOKUP($B30,ESG!$C$13:$BJ$42,COLUMN(ESG!BD$12)-2,FALSE)</f>
        <v>21.666666666666664</v>
      </c>
      <c r="T30" s="436">
        <f ca="1">VLOOKUP($B30,ESG!$C$13:$BJ$42,COLUMN(ESG!BE$12)-2,FALSE)</f>
        <v>22</v>
      </c>
      <c r="U30" s="440">
        <f ca="1">VLOOKUP($B30,ESG!$C$13:$BJ$42,COLUMN(ESG!BF$12)-2,FALSE)</f>
        <v>22.945</v>
      </c>
      <c r="V30" s="437">
        <f ca="1">VLOOKUP($B30,ESG!$C$13:$BJ$42,COLUMN(ESG!BG$12)-2,FALSE)</f>
        <v>27</v>
      </c>
      <c r="W30" s="439">
        <f ca="1">VLOOKUP($B30,III!$C$13:$BC$42,COLUMN(III!AZ$12)-2,FALSE)</f>
        <v>20.278000000000002</v>
      </c>
      <c r="X30" s="436">
        <f ca="1">VLOOKUP($B30,III!$C$13:$BC$42,COLUMN(III!BA$12)-2,FALSE)</f>
        <v>27</v>
      </c>
      <c r="Y30" s="440">
        <f ca="1">VLOOKUP($B30,III!$C$13:$BC$42,COLUMN(III!BB$12)-2,FALSE)</f>
        <v>17.612000000000002</v>
      </c>
      <c r="Z30" s="437">
        <f ca="1">VLOOKUP($B30,III!$C$13:$BC$42,COLUMN(III!BC$12)-2,FALSE)</f>
        <v>22</v>
      </c>
    </row>
    <row r="31" spans="1:26">
      <c r="A31" s="21">
        <v>15</v>
      </c>
      <c r="B31" s="434" t="s">
        <v>39</v>
      </c>
      <c r="C31" s="435" cm="1">
        <f t="array" aca="1" ref="C31" ca="1">SUMPRODUCT(--($G$10:$Z$10="Ranking"),--($G$9:$Z$9=C$9),$G31:$Z31,$G$6:$Z$6)</f>
        <v>16.200000000000003</v>
      </c>
      <c r="D31" s="436">
        <f t="shared" ca="1" si="1"/>
        <v>16</v>
      </c>
      <c r="E31" s="437" cm="1">
        <f t="array" aca="1" ref="E31" ca="1">SUMPRODUCT(--($G$10:$Z$10="Ranking"),--($G$9:$Z$9=E$9),$G31:$Z31,$G$6:$Z$6)</f>
        <v>14.6</v>
      </c>
      <c r="F31" s="437">
        <f t="shared" ca="1" si="2"/>
        <v>13</v>
      </c>
      <c r="G31" s="435">
        <f ca="1">VLOOKUP($B31,RawMaterials!$C$13:$DN$45,COLUMN(RawMaterials!DJ$12)-2,FALSE)</f>
        <v>5.4</v>
      </c>
      <c r="H31" s="436">
        <f>VLOOKUP($B31,RawMaterials!$C$13:$DN$45,COLUMN(RawMaterials!DK$12)-2,FALSE)</f>
        <v>7</v>
      </c>
      <c r="I31" s="438">
        <f ca="1">VLOOKUP($B31,RawMaterials!$C$13:$DN$45,COLUMN(RawMaterials!DL$12)-2,FALSE)</f>
        <v>4.8</v>
      </c>
      <c r="J31" s="437">
        <f ca="1">VLOOKUP($B31,RawMaterials!$C$13:$DN$45,COLUMN(RawMaterials!DM$12)-2,FALSE)</f>
        <v>11</v>
      </c>
      <c r="K31" s="435">
        <f ca="1">VLOOKUP($B31,BatteryManufacturing!$C$16:$AY$45,COLUMN(BatteryManufacturing!AU$15)-2,FALSE)</f>
        <v>1</v>
      </c>
      <c r="L31" s="436">
        <f>VLOOKUP($B31,BatteryManufacturing!$C$16:$AY$45,COLUMN(BatteryManufacturing!AV$15)-2,FALSE)</f>
        <v>18</v>
      </c>
      <c r="M31" s="438">
        <f ca="1">VLOOKUP($B31,BatteryManufacturing!$C$16:$AY$45,COLUMN(BatteryManufacturing!AW$15)-2,FALSE)</f>
        <v>1</v>
      </c>
      <c r="N31" s="437">
        <f ca="1">VLOOKUP($B31,BatteryManufacturing!$C$16:$AY$45,COLUMN(BatteryManufacturing!AX$15)-2,FALSE)</f>
        <v>20</v>
      </c>
      <c r="O31" s="436">
        <f ca="1">VLOOKUP($B31,DownstreamDemand!$C$12:$AJ$41,COLUMN(DownstreamDemand!AF$11)-2,FALSE)</f>
        <v>11.5</v>
      </c>
      <c r="P31" s="436">
        <f ca="1">VLOOKUP($B31,DownstreamDemand!$C$12:$AJ$41,COLUMN(DownstreamDemand!AG$11)-2,FALSE)</f>
        <v>19</v>
      </c>
      <c r="Q31" s="437">
        <f ca="1">VLOOKUP($B31,DownstreamDemand!$C$12:$AJ$41,COLUMN(DownstreamDemand!AH$11)-2,FALSE)</f>
        <v>9</v>
      </c>
      <c r="R31" s="437">
        <f ca="1">VLOOKUP($B31,DownstreamDemand!$C$12:$AJ$41,COLUMN(DownstreamDemand!AI$11)-2,FALSE)</f>
        <v>15</v>
      </c>
      <c r="S31" s="439">
        <f ca="1">VLOOKUP($B31,ESG!$C$13:$BJ$42,COLUMN(ESG!BD$12)-2,FALSE)</f>
        <v>13.055555555555554</v>
      </c>
      <c r="T31" s="436">
        <f ca="1">VLOOKUP($B31,ESG!$C$13:$BJ$42,COLUMN(ESG!BE$12)-2,FALSE)</f>
        <v>14</v>
      </c>
      <c r="U31" s="440">
        <f ca="1">VLOOKUP($B31,ESG!$C$13:$BJ$42,COLUMN(ESG!BF$12)-2,FALSE)</f>
        <v>12.945</v>
      </c>
      <c r="V31" s="437">
        <f ca="1">VLOOKUP($B31,ESG!$C$13:$BJ$42,COLUMN(ESG!BG$12)-2,FALSE)</f>
        <v>9</v>
      </c>
      <c r="W31" s="439">
        <f ca="1">VLOOKUP($B31,III!$C$13:$BC$42,COLUMN(III!AZ$12)-2,FALSE)</f>
        <v>18.278000000000002</v>
      </c>
      <c r="X31" s="436">
        <f ca="1">VLOOKUP($B31,III!$C$13:$BC$42,COLUMN(III!BA$12)-2,FALSE)</f>
        <v>23</v>
      </c>
      <c r="Y31" s="440">
        <f ca="1">VLOOKUP($B31,III!$C$13:$BC$42,COLUMN(III!BB$12)-2,FALSE)</f>
        <v>16.028000000000002</v>
      </c>
      <c r="Z31" s="437">
        <f ca="1">VLOOKUP($B31,III!$C$13:$BC$42,COLUMN(III!BC$12)-2,FALSE)</f>
        <v>18</v>
      </c>
    </row>
    <row r="32" spans="1:26">
      <c r="A32" s="21">
        <v>2</v>
      </c>
      <c r="B32" s="434" t="s">
        <v>6</v>
      </c>
      <c r="C32" s="435" cm="1">
        <f t="array" aca="1" ref="C32" ca="1">SUMPRODUCT(--($G$10:$Z$10="Ranking"),--($G$9:$Z$9=C$9),$G32:$Z32,$G$6:$Z$6)</f>
        <v>5.8</v>
      </c>
      <c r="D32" s="436">
        <f t="shared" ca="1" si="1"/>
        <v>1</v>
      </c>
      <c r="E32" s="437" cm="1">
        <f t="array" aca="1" ref="E32" ca="1">SUMPRODUCT(--($G$10:$Z$10="Ranking"),--($G$9:$Z$9=E$9),$G32:$Z32,$G$6:$Z$6)</f>
        <v>5.6</v>
      </c>
      <c r="F32" s="437">
        <f t="shared" ca="1" si="2"/>
        <v>2</v>
      </c>
      <c r="G32" s="435">
        <f ca="1">VLOOKUP($B32,RawMaterials!$C$13:$DN$45,COLUMN(RawMaterials!DJ$12)-2,FALSE)</f>
        <v>12.6</v>
      </c>
      <c r="H32" s="436">
        <f>VLOOKUP($B32,RawMaterials!$C$13:$DN$45,COLUMN(RawMaterials!DK$12)-2,FALSE)</f>
        <v>1</v>
      </c>
      <c r="I32" s="438">
        <f ca="1">VLOOKUP($B32,RawMaterials!$C$13:$DN$45,COLUMN(RawMaterials!DL$12)-2,FALSE)</f>
        <v>11.8</v>
      </c>
      <c r="J32" s="437">
        <f ca="1">VLOOKUP($B32,RawMaterials!$C$13:$DN$45,COLUMN(RawMaterials!DM$12)-2,FALSE)</f>
        <v>1</v>
      </c>
      <c r="K32" s="435">
        <f ca="1">VLOOKUP($B32,BatteryManufacturing!$C$16:$AY$45,COLUMN(BatteryManufacturing!AU$15)-2,FALSE)</f>
        <v>5</v>
      </c>
      <c r="L32" s="436">
        <f>VLOOKUP($B32,BatteryManufacturing!$C$16:$AY$45,COLUMN(BatteryManufacturing!AV$15)-2,FALSE)</f>
        <v>1</v>
      </c>
      <c r="M32" s="438">
        <f ca="1">VLOOKUP($B32,BatteryManufacturing!$C$16:$AY$45,COLUMN(BatteryManufacturing!AW$15)-2,FALSE)</f>
        <v>5</v>
      </c>
      <c r="N32" s="437">
        <f ca="1">VLOOKUP($B32,BatteryManufacturing!$C$16:$AY$45,COLUMN(BatteryManufacturing!AX$15)-2,FALSE)</f>
        <v>1</v>
      </c>
      <c r="O32" s="436">
        <f ca="1">VLOOKUP($B32,DownstreamDemand!$C$12:$AJ$41,COLUMN(DownstreamDemand!AF$11)-2,FALSE)</f>
        <v>1</v>
      </c>
      <c r="P32" s="436">
        <f ca="1">VLOOKUP($B32,DownstreamDemand!$C$12:$AJ$41,COLUMN(DownstreamDemand!AG$11)-2,FALSE)</f>
        <v>1</v>
      </c>
      <c r="Q32" s="437">
        <f ca="1">VLOOKUP($B32,DownstreamDemand!$C$12:$AJ$41,COLUMN(DownstreamDemand!AH$11)-2,FALSE)</f>
        <v>1</v>
      </c>
      <c r="R32" s="437">
        <f ca="1">VLOOKUP($B32,DownstreamDemand!$C$12:$AJ$41,COLUMN(DownstreamDemand!AI$11)-2,FALSE)</f>
        <v>1</v>
      </c>
      <c r="S32" s="439">
        <f ca="1">VLOOKUP($B32,ESG!$C$13:$BJ$42,COLUMN(ESG!BD$12)-2,FALSE)</f>
        <v>18.888888888888889</v>
      </c>
      <c r="T32" s="436">
        <f ca="1">VLOOKUP($B32,ESG!$C$13:$BJ$42,COLUMN(ESG!BE$12)-2,FALSE)</f>
        <v>17</v>
      </c>
      <c r="U32" s="440">
        <f ca="1">VLOOKUP($B32,ESG!$C$13:$BJ$42,COLUMN(ESG!BF$12)-2,FALSE)</f>
        <v>20.334</v>
      </c>
      <c r="V32" s="437">
        <f ca="1">VLOOKUP($B32,ESG!$C$13:$BJ$42,COLUMN(ESG!BG$12)-2,FALSE)</f>
        <v>20</v>
      </c>
      <c r="W32" s="439">
        <f ca="1">VLOOKUP($B32,III!$C$13:$BC$42,COLUMN(III!AZ$12)-2,FALSE)</f>
        <v>11.667</v>
      </c>
      <c r="X32" s="436">
        <f ca="1">VLOOKUP($B32,III!$C$13:$BC$42,COLUMN(III!BA$12)-2,FALSE)</f>
        <v>9</v>
      </c>
      <c r="Y32" s="440">
        <f ca="1">VLOOKUP($B32,III!$C$13:$BC$42,COLUMN(III!BB$12)-2,FALSE)</f>
        <v>9.5</v>
      </c>
      <c r="Z32" s="437">
        <f ca="1">VLOOKUP($B32,III!$C$13:$BC$42,COLUMN(III!BC$12)-2,FALSE)</f>
        <v>5</v>
      </c>
    </row>
    <row r="33" spans="1:26">
      <c r="A33" s="21">
        <v>10</v>
      </c>
      <c r="B33" s="434" t="s">
        <v>8</v>
      </c>
      <c r="C33" s="435" cm="1">
        <f t="array" aca="1" ref="C33" ca="1">SUMPRODUCT(--($G$10:$Z$10="Ranking"),--($G$9:$Z$9=C$9),$G33:$Z33,$G$6:$Z$6)</f>
        <v>8.8000000000000007</v>
      </c>
      <c r="D33" s="436">
        <f t="shared" ca="1" si="1"/>
        <v>9</v>
      </c>
      <c r="E33" s="437" cm="1">
        <f t="array" aca="1" ref="E33" ca="1">SUMPRODUCT(--($G$10:$Z$10="Ranking"),--($G$9:$Z$9=E$9),$G33:$Z33,$G$6:$Z$6)</f>
        <v>11.2</v>
      </c>
      <c r="F33" s="437">
        <f t="shared" ca="1" si="2"/>
        <v>11</v>
      </c>
      <c r="G33" s="435">
        <f ca="1">VLOOKUP($B33,RawMaterials!$C$13:$DN$45,COLUMN(RawMaterials!DJ$12)-2,FALSE)</f>
        <v>4.8</v>
      </c>
      <c r="H33" s="436">
        <f>VLOOKUP($B33,RawMaterials!$C$13:$DN$45,COLUMN(RawMaterials!DK$12)-2,FALSE)</f>
        <v>13</v>
      </c>
      <c r="I33" s="438">
        <f ca="1">VLOOKUP($B33,RawMaterials!$C$13:$DN$45,COLUMN(RawMaterials!DL$12)-2,FALSE)</f>
        <v>3.2</v>
      </c>
      <c r="J33" s="437">
        <f ca="1">VLOOKUP($B33,RawMaterials!$C$13:$DN$45,COLUMN(RawMaterials!DM$12)-2,FALSE)</f>
        <v>20</v>
      </c>
      <c r="K33" s="435">
        <f ca="1">VLOOKUP($B33,BatteryManufacturing!$C$16:$AY$45,COLUMN(BatteryManufacturing!AU$15)-2,FALSE)</f>
        <v>3.286</v>
      </c>
      <c r="L33" s="436">
        <f>VLOOKUP($B33,BatteryManufacturing!$C$16:$AY$45,COLUMN(BatteryManufacturing!AV$15)-2,FALSE)</f>
        <v>3</v>
      </c>
      <c r="M33" s="438">
        <f ca="1">VLOOKUP($B33,BatteryManufacturing!$C$16:$AY$45,COLUMN(BatteryManufacturing!AW$15)-2,FALSE)</f>
        <v>3.286</v>
      </c>
      <c r="N33" s="437">
        <f ca="1">VLOOKUP($B33,BatteryManufacturing!$C$16:$AY$45,COLUMN(BatteryManufacturing!AX$15)-2,FALSE)</f>
        <v>4</v>
      </c>
      <c r="O33" s="436">
        <f ca="1">VLOOKUP($B33,DownstreamDemand!$C$12:$AJ$41,COLUMN(DownstreamDemand!AF$11)-2,FALSE)</f>
        <v>5</v>
      </c>
      <c r="P33" s="436">
        <f ca="1">VLOOKUP($B33,DownstreamDemand!$C$12:$AJ$41,COLUMN(DownstreamDemand!AG$11)-2,FALSE)</f>
        <v>8</v>
      </c>
      <c r="Q33" s="437">
        <f ca="1">VLOOKUP($B33,DownstreamDemand!$C$12:$AJ$41,COLUMN(DownstreamDemand!AH$11)-2,FALSE)</f>
        <v>6</v>
      </c>
      <c r="R33" s="437">
        <f ca="1">VLOOKUP($B33,DownstreamDemand!$C$12:$AJ$41,COLUMN(DownstreamDemand!AI$11)-2,FALSE)</f>
        <v>10</v>
      </c>
      <c r="S33" s="439">
        <f ca="1">VLOOKUP($B33,ESG!$C$13:$BJ$42,COLUMN(ESG!BD$12)-2,FALSE)</f>
        <v>9.7777777777777768</v>
      </c>
      <c r="T33" s="436">
        <f ca="1">VLOOKUP($B33,ESG!$C$13:$BJ$42,COLUMN(ESG!BE$12)-2,FALSE)</f>
        <v>8</v>
      </c>
      <c r="U33" s="440">
        <f ca="1">VLOOKUP($B33,ESG!$C$13:$BJ$42,COLUMN(ESG!BF$12)-2,FALSE)</f>
        <v>12.945</v>
      </c>
      <c r="V33" s="437">
        <f ca="1">VLOOKUP($B33,ESG!$C$13:$BJ$42,COLUMN(ESG!BG$12)-2,FALSE)</f>
        <v>9</v>
      </c>
      <c r="W33" s="439">
        <f ca="1">VLOOKUP($B33,III!$C$13:$BC$42,COLUMN(III!AZ$12)-2,FALSE)</f>
        <v>13.945</v>
      </c>
      <c r="X33" s="436">
        <f ca="1">VLOOKUP($B33,III!$C$13:$BC$42,COLUMN(III!BA$12)-2,FALSE)</f>
        <v>12</v>
      </c>
      <c r="Y33" s="440">
        <f ca="1">VLOOKUP($B33,III!$C$13:$BC$42,COLUMN(III!BB$12)-2,FALSE)</f>
        <v>14.084</v>
      </c>
      <c r="Z33" s="437">
        <f ca="1">VLOOKUP($B33,III!$C$13:$BC$42,COLUMN(III!BC$12)-2,FALSE)</f>
        <v>13</v>
      </c>
    </row>
    <row r="34" spans="1:26">
      <c r="A34" s="21">
        <v>5</v>
      </c>
      <c r="B34" s="434" t="s">
        <v>14</v>
      </c>
      <c r="C34" s="435" cm="1">
        <f t="array" aca="1" ref="C34" ca="1">SUMPRODUCT(--($G$10:$Z$10="Ranking"),--($G$9:$Z$9=C$9),$G34:$Z34,$G$6:$Z$6)</f>
        <v>8</v>
      </c>
      <c r="D34" s="436">
        <f t="shared" ca="1" si="1"/>
        <v>6</v>
      </c>
      <c r="E34" s="437" cm="1">
        <f t="array" aca="1" ref="E34" ca="1">SUMPRODUCT(--($G$10:$Z$10="Ranking"),--($G$9:$Z$9=E$9),$G34:$Z34,$G$6:$Z$6)</f>
        <v>8.4</v>
      </c>
      <c r="F34" s="437">
        <f t="shared" ca="1" si="2"/>
        <v>6</v>
      </c>
      <c r="G34" s="435">
        <f ca="1">VLOOKUP($B34,RawMaterials!$C$13:$DN$45,COLUMN(RawMaterials!DJ$12)-2,FALSE)</f>
        <v>4.2</v>
      </c>
      <c r="H34" s="436">
        <f>VLOOKUP($B34,RawMaterials!$C$13:$DN$45,COLUMN(RawMaterials!DK$12)-2,FALSE)</f>
        <v>17</v>
      </c>
      <c r="I34" s="438">
        <f ca="1">VLOOKUP($B34,RawMaterials!$C$13:$DN$45,COLUMN(RawMaterials!DL$12)-2,FALSE)</f>
        <v>4.2</v>
      </c>
      <c r="J34" s="437">
        <f ca="1">VLOOKUP($B34,RawMaterials!$C$13:$DN$45,COLUMN(RawMaterials!DM$12)-2,FALSE)</f>
        <v>15</v>
      </c>
      <c r="K34" s="435">
        <f ca="1">VLOOKUP($B34,BatteryManufacturing!$C$16:$AY$45,COLUMN(BatteryManufacturing!AU$15)-2,FALSE)</f>
        <v>3.5720000000000001</v>
      </c>
      <c r="L34" s="436">
        <f>VLOOKUP($B34,BatteryManufacturing!$C$16:$AY$45,COLUMN(BatteryManufacturing!AV$15)-2,FALSE)</f>
        <v>2</v>
      </c>
      <c r="M34" s="438">
        <f ca="1">VLOOKUP($B34,BatteryManufacturing!$C$16:$AY$45,COLUMN(BatteryManufacturing!AW$15)-2,FALSE)</f>
        <v>4</v>
      </c>
      <c r="N34" s="437">
        <f ca="1">VLOOKUP($B34,BatteryManufacturing!$C$16:$AY$45,COLUMN(BatteryManufacturing!AX$15)-2,FALSE)</f>
        <v>2</v>
      </c>
      <c r="O34" s="436">
        <f ca="1">VLOOKUP($B34,DownstreamDemand!$C$12:$AJ$41,COLUMN(DownstreamDemand!AF$11)-2,FALSE)</f>
        <v>3.5</v>
      </c>
      <c r="P34" s="436">
        <f ca="1">VLOOKUP($B34,DownstreamDemand!$C$12:$AJ$41,COLUMN(DownstreamDemand!AG$11)-2,FALSE)</f>
        <v>5</v>
      </c>
      <c r="Q34" s="437">
        <f ca="1">VLOOKUP($B34,DownstreamDemand!$C$12:$AJ$41,COLUMN(DownstreamDemand!AH$11)-2,FALSE)</f>
        <v>3.5</v>
      </c>
      <c r="R34" s="437">
        <f ca="1">VLOOKUP($B34,DownstreamDemand!$C$12:$AJ$41,COLUMN(DownstreamDemand!AI$11)-2,FALSE)</f>
        <v>5</v>
      </c>
      <c r="S34" s="439">
        <f ca="1">VLOOKUP($B34,ESG!$C$13:$BJ$42,COLUMN(ESG!BD$12)-2,FALSE)</f>
        <v>11.611111111111111</v>
      </c>
      <c r="T34" s="436">
        <f ca="1">VLOOKUP($B34,ESG!$C$13:$BJ$42,COLUMN(ESG!BE$12)-2,FALSE)</f>
        <v>10</v>
      </c>
      <c r="U34" s="440">
        <f ca="1">VLOOKUP($B34,ESG!$C$13:$BJ$42,COLUMN(ESG!BF$12)-2,FALSE)</f>
        <v>14.334</v>
      </c>
      <c r="V34" s="437">
        <f ca="1">VLOOKUP($B34,ESG!$C$13:$BJ$42,COLUMN(ESG!BG$12)-2,FALSE)</f>
        <v>16</v>
      </c>
      <c r="W34" s="439">
        <f ca="1">VLOOKUP($B34,III!$C$13:$BC$42,COLUMN(III!AZ$12)-2,FALSE)</f>
        <v>10.777999999999999</v>
      </c>
      <c r="X34" s="436">
        <f ca="1">VLOOKUP($B34,III!$C$13:$BC$42,COLUMN(III!BA$12)-2,FALSE)</f>
        <v>6</v>
      </c>
      <c r="Y34" s="440">
        <f ca="1">VLOOKUP($B34,III!$C$13:$BC$42,COLUMN(III!BB$12)-2,FALSE)</f>
        <v>8.8889999999999993</v>
      </c>
      <c r="Z34" s="437">
        <f ca="1">VLOOKUP($B34,III!$C$13:$BC$42,COLUMN(III!BC$12)-2,FALSE)</f>
        <v>4</v>
      </c>
    </row>
    <row r="35" spans="1:26">
      <c r="A35" s="21">
        <v>9</v>
      </c>
      <c r="B35" s="434" t="s">
        <v>9</v>
      </c>
      <c r="C35" s="435" cm="1">
        <f t="array" aca="1" ref="C35" ca="1">SUMPRODUCT(--($G$10:$Z$10="Ranking"),--($G$9:$Z$9=C$9),$G35:$Z35,$G$6:$Z$6)</f>
        <v>10</v>
      </c>
      <c r="D35" s="436">
        <f t="shared" ca="1" si="1"/>
        <v>10</v>
      </c>
      <c r="E35" s="437" cm="1">
        <f t="array" aca="1" ref="E35" ca="1">SUMPRODUCT(--($G$10:$Z$10="Ranking"),--($G$9:$Z$9=E$9),$G35:$Z35,$G$6:$Z$6)</f>
        <v>10.200000000000001</v>
      </c>
      <c r="F35" s="437">
        <f t="shared" ca="1" si="2"/>
        <v>9</v>
      </c>
      <c r="G35" s="435">
        <f ca="1">VLOOKUP($B35,RawMaterials!$C$13:$DN$45,COLUMN(RawMaterials!DJ$12)-2,FALSE)</f>
        <v>10</v>
      </c>
      <c r="H35" s="436">
        <f>VLOOKUP($B35,RawMaterials!$C$13:$DN$45,COLUMN(RawMaterials!DK$12)-2,FALSE)</f>
        <v>2</v>
      </c>
      <c r="I35" s="438">
        <f ca="1">VLOOKUP($B35,RawMaterials!$C$13:$DN$45,COLUMN(RawMaterials!DL$12)-2,FALSE)</f>
        <v>10.199999999999999</v>
      </c>
      <c r="J35" s="437">
        <f ca="1">VLOOKUP($B35,RawMaterials!$C$13:$DN$45,COLUMN(RawMaterials!DM$12)-2,FALSE)</f>
        <v>2</v>
      </c>
      <c r="K35" s="435">
        <f ca="1">VLOOKUP($B35,BatteryManufacturing!$C$16:$AY$45,COLUMN(BatteryManufacturing!AU$15)-2,FALSE)</f>
        <v>1.1429999999999998</v>
      </c>
      <c r="L35" s="436">
        <f>VLOOKUP($B35,BatteryManufacturing!$C$16:$AY$45,COLUMN(BatteryManufacturing!AV$15)-2,FALSE)</f>
        <v>15</v>
      </c>
      <c r="M35" s="438">
        <f ca="1">VLOOKUP($B35,BatteryManufacturing!$C$16:$AY$45,COLUMN(BatteryManufacturing!AW$15)-2,FALSE)</f>
        <v>1</v>
      </c>
      <c r="N35" s="437">
        <f ca="1">VLOOKUP($B35,BatteryManufacturing!$C$16:$AY$45,COLUMN(BatteryManufacturing!AX$15)-2,FALSE)</f>
        <v>20</v>
      </c>
      <c r="O35" s="436">
        <f ca="1">VLOOKUP($B35,DownstreamDemand!$C$12:$AJ$41,COLUMN(DownstreamDemand!AF$11)-2,FALSE)</f>
        <v>7.5</v>
      </c>
      <c r="P35" s="436">
        <f ca="1">VLOOKUP($B35,DownstreamDemand!$C$12:$AJ$41,COLUMN(DownstreamDemand!AG$11)-2,FALSE)</f>
        <v>11</v>
      </c>
      <c r="Q35" s="437">
        <f ca="1">VLOOKUP($B35,DownstreamDemand!$C$12:$AJ$41,COLUMN(DownstreamDemand!AH$11)-2,FALSE)</f>
        <v>7</v>
      </c>
      <c r="R35" s="437">
        <f ca="1">VLOOKUP($B35,DownstreamDemand!$C$12:$AJ$41,COLUMN(DownstreamDemand!AI$11)-2,FALSE)</f>
        <v>11</v>
      </c>
      <c r="S35" s="439">
        <f ca="1">VLOOKUP($B35,ESG!$C$13:$BJ$42,COLUMN(ESG!BD$12)-2,FALSE)</f>
        <v>10.166666666666666</v>
      </c>
      <c r="T35" s="436">
        <f ca="1">VLOOKUP($B35,ESG!$C$13:$BJ$42,COLUMN(ESG!BE$12)-2,FALSE)</f>
        <v>9</v>
      </c>
      <c r="U35" s="440">
        <f ca="1">VLOOKUP($B35,ESG!$C$13:$BJ$42,COLUMN(ESG!BF$12)-2,FALSE)</f>
        <v>9.6669999999999998</v>
      </c>
      <c r="V35" s="437">
        <f ca="1">VLOOKUP($B35,ESG!$C$13:$BJ$42,COLUMN(ESG!BG$12)-2,FALSE)</f>
        <v>8</v>
      </c>
      <c r="W35" s="439">
        <f ca="1">VLOOKUP($B35,III!$C$13:$BC$42,COLUMN(III!AZ$12)-2,FALSE)</f>
        <v>14.612</v>
      </c>
      <c r="X35" s="436">
        <f ca="1">VLOOKUP($B35,III!$C$13:$BC$42,COLUMN(III!BA$12)-2,FALSE)</f>
        <v>13</v>
      </c>
      <c r="Y35" s="440">
        <f ca="1">VLOOKUP($B35,III!$C$13:$BC$42,COLUMN(III!BB$12)-2,FALSE)</f>
        <v>12.862</v>
      </c>
      <c r="Z35" s="437">
        <f ca="1">VLOOKUP($B35,III!$C$13:$BC$42,COLUMN(III!BC$12)-2,FALSE)</f>
        <v>10</v>
      </c>
    </row>
    <row r="36" spans="1:26">
      <c r="A36" s="21">
        <v>13</v>
      </c>
      <c r="B36" s="434" t="s">
        <v>7</v>
      </c>
      <c r="C36" s="435" cm="1">
        <f t="array" aca="1" ref="C36" ca="1">SUMPRODUCT(--($G$10:$Z$10="Ranking"),--($G$9:$Z$9=C$9),$G36:$Z36,$G$6:$Z$6)</f>
        <v>16.599999999999998</v>
      </c>
      <c r="D36" s="436">
        <f t="shared" ca="1" si="1"/>
        <v>18</v>
      </c>
      <c r="E36" s="437" cm="1">
        <f t="array" aca="1" ref="E36" ca="1">SUMPRODUCT(--($G$10:$Z$10="Ranking"),--($G$9:$Z$9=E$9),$G36:$Z36,$G$6:$Z$6)</f>
        <v>15</v>
      </c>
      <c r="F36" s="437">
        <f t="shared" ca="1" si="2"/>
        <v>16</v>
      </c>
      <c r="G36" s="435">
        <f ca="1">VLOOKUP($B36,RawMaterials!$C$13:$DN$45,COLUMN(RawMaterials!DJ$12)-2,FALSE)</f>
        <v>4.8</v>
      </c>
      <c r="H36" s="436">
        <f>VLOOKUP($B36,RawMaterials!$C$13:$DN$45,COLUMN(RawMaterials!DK$12)-2,FALSE)</f>
        <v>13</v>
      </c>
      <c r="I36" s="438">
        <f ca="1">VLOOKUP($B36,RawMaterials!$C$13:$DN$45,COLUMN(RawMaterials!DL$12)-2,FALSE)</f>
        <v>4.8</v>
      </c>
      <c r="J36" s="437">
        <f ca="1">VLOOKUP($B36,RawMaterials!$C$13:$DN$45,COLUMN(RawMaterials!DM$12)-2,FALSE)</f>
        <v>11</v>
      </c>
      <c r="K36" s="435">
        <f ca="1">VLOOKUP($B36,BatteryManufacturing!$C$16:$AY$45,COLUMN(BatteryManufacturing!AU$15)-2,FALSE)</f>
        <v>1.2859999999999998</v>
      </c>
      <c r="L36" s="436">
        <f>VLOOKUP($B36,BatteryManufacturing!$C$16:$AY$45,COLUMN(BatteryManufacturing!AV$15)-2,FALSE)</f>
        <v>10</v>
      </c>
      <c r="M36" s="438">
        <f ca="1">VLOOKUP($B36,BatteryManufacturing!$C$16:$AY$45,COLUMN(BatteryManufacturing!AW$15)-2,FALSE)</f>
        <v>1.4289999999999998</v>
      </c>
      <c r="N36" s="437">
        <f ca="1">VLOOKUP($B36,BatteryManufacturing!$C$16:$AY$45,COLUMN(BatteryManufacturing!AX$15)-2,FALSE)</f>
        <v>10</v>
      </c>
      <c r="O36" s="436">
        <f ca="1">VLOOKUP($B36,DownstreamDemand!$C$12:$AJ$41,COLUMN(DownstreamDemand!AF$11)-2,FALSE)</f>
        <v>8</v>
      </c>
      <c r="P36" s="436">
        <f ca="1">VLOOKUP($B36,DownstreamDemand!$C$12:$AJ$41,COLUMN(DownstreamDemand!AG$11)-2,FALSE)</f>
        <v>13</v>
      </c>
      <c r="Q36" s="437">
        <f ca="1">VLOOKUP($B36,DownstreamDemand!$C$12:$AJ$41,COLUMN(DownstreamDemand!AH$11)-2,FALSE)</f>
        <v>8</v>
      </c>
      <c r="R36" s="437">
        <f ca="1">VLOOKUP($B36,DownstreamDemand!$C$12:$AJ$41,COLUMN(DownstreamDemand!AI$11)-2,FALSE)</f>
        <v>12</v>
      </c>
      <c r="S36" s="439">
        <f ca="1">VLOOKUP($B36,ESG!$C$13:$BJ$42,COLUMN(ESG!BD$12)-2,FALSE)</f>
        <v>22.888888888888889</v>
      </c>
      <c r="T36" s="436">
        <f ca="1">VLOOKUP($B36,ESG!$C$13:$BJ$42,COLUMN(ESG!BE$12)-2,FALSE)</f>
        <v>26</v>
      </c>
      <c r="U36" s="440">
        <f ca="1">VLOOKUP($B36,ESG!$C$13:$BJ$42,COLUMN(ESG!BF$12)-2,FALSE)</f>
        <v>22.945</v>
      </c>
      <c r="V36" s="437">
        <f ca="1">VLOOKUP($B36,ESG!$C$13:$BJ$42,COLUMN(ESG!BG$12)-2,FALSE)</f>
        <v>27</v>
      </c>
      <c r="W36" s="439">
        <f ca="1">VLOOKUP($B36,III!$C$13:$BC$42,COLUMN(III!AZ$12)-2,FALSE)</f>
        <v>17.723000000000003</v>
      </c>
      <c r="X36" s="436">
        <f ca="1">VLOOKUP($B36,III!$C$13:$BC$42,COLUMN(III!BA$12)-2,FALSE)</f>
        <v>21</v>
      </c>
      <c r="Y36" s="440">
        <f ca="1">VLOOKUP($B36,III!$C$13:$BC$42,COLUMN(III!BB$12)-2,FALSE)</f>
        <v>15.695</v>
      </c>
      <c r="Z36" s="437">
        <f ca="1">VLOOKUP($B36,III!$C$13:$BC$42,COLUMN(III!BC$12)-2,FALSE)</f>
        <v>15</v>
      </c>
    </row>
    <row r="37" spans="1:26">
      <c r="A37" s="21">
        <v>17</v>
      </c>
      <c r="B37" s="434" t="s">
        <v>10</v>
      </c>
      <c r="C37" s="435" cm="1">
        <f t="array" aca="1" ref="C37" ca="1">SUMPRODUCT(--($G$10:$Z$10="Ranking"),--($G$9:$Z$9=C$9),$G37:$Z37,$G$6:$Z$6)</f>
        <v>18.600000000000001</v>
      </c>
      <c r="D37" s="436">
        <f t="shared" ca="1" si="1"/>
        <v>22</v>
      </c>
      <c r="E37" s="437" cm="1">
        <f t="array" aca="1" ref="E37" ca="1">SUMPRODUCT(--($G$10:$Z$10="Ranking"),--($G$9:$Z$9=E$9),$G37:$Z37,$G$6:$Z$6)</f>
        <v>16.200000000000003</v>
      </c>
      <c r="F37" s="437">
        <f t="shared" ca="1" si="2"/>
        <v>17</v>
      </c>
      <c r="G37" s="435">
        <f ca="1">VLOOKUP($B37,RawMaterials!$C$13:$DN$45,COLUMN(RawMaterials!DJ$12)-2,FALSE)</f>
        <v>5.6</v>
      </c>
      <c r="H37" s="436">
        <f>VLOOKUP($B37,RawMaterials!$C$13:$DN$45,COLUMN(RawMaterials!DK$12)-2,FALSE)</f>
        <v>5</v>
      </c>
      <c r="I37" s="438">
        <f ca="1">VLOOKUP($B37,RawMaterials!$C$13:$DN$45,COLUMN(RawMaterials!DL$12)-2,FALSE)</f>
        <v>7</v>
      </c>
      <c r="J37" s="437">
        <f ca="1">VLOOKUP($B37,RawMaterials!$C$13:$DN$45,COLUMN(RawMaterials!DM$12)-2,FALSE)</f>
        <v>5</v>
      </c>
      <c r="K37" s="435">
        <f ca="1">VLOOKUP($B37,BatteryManufacturing!$C$16:$AY$45,COLUMN(BatteryManufacturing!AU$15)-2,FALSE)</f>
        <v>1</v>
      </c>
      <c r="L37" s="436">
        <f>VLOOKUP($B37,BatteryManufacturing!$C$16:$AY$45,COLUMN(BatteryManufacturing!AV$15)-2,FALSE)</f>
        <v>18</v>
      </c>
      <c r="M37" s="438">
        <f ca="1">VLOOKUP($B37,BatteryManufacturing!$C$16:$AY$45,COLUMN(BatteryManufacturing!AW$15)-2,FALSE)</f>
        <v>1.4289999999999998</v>
      </c>
      <c r="N37" s="437">
        <f ca="1">VLOOKUP($B37,BatteryManufacturing!$C$16:$AY$45,COLUMN(BatteryManufacturing!AX$15)-2,FALSE)</f>
        <v>10</v>
      </c>
      <c r="O37" s="436">
        <f ca="1">VLOOKUP($B37,DownstreamDemand!$C$12:$AJ$41,COLUMN(DownstreamDemand!AF$11)-2,FALSE)</f>
        <v>14</v>
      </c>
      <c r="P37" s="436">
        <f ca="1">VLOOKUP($B37,DownstreamDemand!$C$12:$AJ$41,COLUMN(DownstreamDemand!AG$11)-2,FALSE)</f>
        <v>25</v>
      </c>
      <c r="Q37" s="437">
        <f ca="1">VLOOKUP($B37,DownstreamDemand!$C$12:$AJ$41,COLUMN(DownstreamDemand!AH$11)-2,FALSE)</f>
        <v>13.5</v>
      </c>
      <c r="R37" s="437">
        <f ca="1">VLOOKUP($B37,DownstreamDemand!$C$12:$AJ$41,COLUMN(DownstreamDemand!AI$11)-2,FALSE)</f>
        <v>23</v>
      </c>
      <c r="S37" s="439">
        <f ca="1">VLOOKUP($B37,ESG!$C$13:$BJ$42,COLUMN(ESG!BD$12)-2,FALSE)</f>
        <v>22.166666666666664</v>
      </c>
      <c r="T37" s="436">
        <f ca="1">VLOOKUP($B37,ESG!$C$13:$BJ$42,COLUMN(ESG!BE$12)-2,FALSE)</f>
        <v>23</v>
      </c>
      <c r="U37" s="440">
        <f ca="1">VLOOKUP($B37,ESG!$C$13:$BJ$42,COLUMN(ESG!BF$12)-2,FALSE)</f>
        <v>21.334</v>
      </c>
      <c r="V37" s="437">
        <f ca="1">VLOOKUP($B37,ESG!$C$13:$BJ$42,COLUMN(ESG!BG$12)-2,FALSE)</f>
        <v>23</v>
      </c>
      <c r="W37" s="439">
        <f ca="1">VLOOKUP($B37,III!$C$13:$BC$42,COLUMN(III!AZ$12)-2,FALSE)</f>
        <v>17.834</v>
      </c>
      <c r="X37" s="436">
        <f ca="1">VLOOKUP($B37,III!$C$13:$BC$42,COLUMN(III!BA$12)-2,FALSE)</f>
        <v>22</v>
      </c>
      <c r="Y37" s="440">
        <f ca="1">VLOOKUP($B37,III!$C$13:$BC$42,COLUMN(III!BB$12)-2,FALSE)</f>
        <v>17.112000000000002</v>
      </c>
      <c r="Z37" s="437">
        <f ca="1">VLOOKUP($B37,III!$C$13:$BC$42,COLUMN(III!BC$12)-2,FALSE)</f>
        <v>20</v>
      </c>
    </row>
    <row r="38" spans="1:26">
      <c r="A38" s="21">
        <v>27</v>
      </c>
      <c r="B38" s="434" t="s">
        <v>82</v>
      </c>
      <c r="C38" s="435" cm="1">
        <f t="array" aca="1" ref="C38" ca="1">SUMPRODUCT(--($G$10:$Z$10="Ranking"),--($G$9:$Z$9=C$9),$G38:$Z38,$G$6:$Z$6)</f>
        <v>21.400000000000002</v>
      </c>
      <c r="D38" s="436">
        <f t="shared" ca="1" si="1"/>
        <v>26</v>
      </c>
      <c r="E38" s="437" cm="1">
        <f t="array" aca="1" ref="E38" ca="1">SUMPRODUCT(--($G$10:$Z$10="Ranking"),--($G$9:$Z$9=E$9),$G38:$Z38,$G$6:$Z$6)</f>
        <v>21.8</v>
      </c>
      <c r="F38" s="437">
        <f t="shared" ca="1" si="2"/>
        <v>27</v>
      </c>
      <c r="G38" s="435">
        <f ca="1">VLOOKUP($B38,RawMaterials!$C$13:$DN$45,COLUMN(RawMaterials!DJ$12)-2,FALSE)</f>
        <v>5</v>
      </c>
      <c r="H38" s="436">
        <f>VLOOKUP($B38,RawMaterials!$C$13:$DN$45,COLUMN(RawMaterials!DK$12)-2,FALSE)</f>
        <v>10</v>
      </c>
      <c r="I38" s="438">
        <f ca="1">VLOOKUP($B38,RawMaterials!$C$13:$DN$45,COLUMN(RawMaterials!DL$12)-2,FALSE)</f>
        <v>4.8</v>
      </c>
      <c r="J38" s="437">
        <f ca="1">VLOOKUP($B38,RawMaterials!$C$13:$DN$45,COLUMN(RawMaterials!DM$12)-2,FALSE)</f>
        <v>11</v>
      </c>
      <c r="K38" s="435">
        <f ca="1">VLOOKUP($B38,BatteryManufacturing!$C$16:$AY$45,COLUMN(BatteryManufacturing!AU$15)-2,FALSE)</f>
        <v>1</v>
      </c>
      <c r="L38" s="436">
        <f>VLOOKUP($B38,BatteryManufacturing!$C$16:$AY$45,COLUMN(BatteryManufacturing!AV$15)-2,FALSE)</f>
        <v>18</v>
      </c>
      <c r="M38" s="438">
        <f ca="1">VLOOKUP($B38,BatteryManufacturing!$C$16:$AY$45,COLUMN(BatteryManufacturing!AW$15)-2,FALSE)</f>
        <v>1</v>
      </c>
      <c r="N38" s="437">
        <f ca="1">VLOOKUP($B38,BatteryManufacturing!$C$16:$AY$45,COLUMN(BatteryManufacturing!AX$15)-2,FALSE)</f>
        <v>20</v>
      </c>
      <c r="O38" s="436">
        <f ca="1">VLOOKUP($B38,DownstreamDemand!$C$12:$AJ$41,COLUMN(DownstreamDemand!AF$11)-2,FALSE)</f>
        <v>12.5</v>
      </c>
      <c r="P38" s="436">
        <f ca="1">VLOOKUP($B38,DownstreamDemand!$C$12:$AJ$41,COLUMN(DownstreamDemand!AG$11)-2,FALSE)</f>
        <v>22</v>
      </c>
      <c r="Q38" s="437">
        <f ca="1">VLOOKUP($B38,DownstreamDemand!$C$12:$AJ$41,COLUMN(DownstreamDemand!AH$11)-2,FALSE)</f>
        <v>14</v>
      </c>
      <c r="R38" s="437">
        <f ca="1">VLOOKUP($B38,DownstreamDemand!$C$12:$AJ$41,COLUMN(DownstreamDemand!AI$11)-2,FALSE)</f>
        <v>25</v>
      </c>
      <c r="S38" s="439">
        <f ca="1">VLOOKUP($B38,ESG!$C$13:$BJ$42,COLUMN(ESG!BD$12)-2,FALSE)</f>
        <v>24.444444444444443</v>
      </c>
      <c r="T38" s="436">
        <f ca="1">VLOOKUP($B38,ESG!$C$13:$BJ$42,COLUMN(ESG!BE$12)-2,FALSE)</f>
        <v>29</v>
      </c>
      <c r="U38" s="440">
        <f ca="1">VLOOKUP($B38,ESG!$C$13:$BJ$42,COLUMN(ESG!BF$12)-2,FALSE)</f>
        <v>21.889000000000003</v>
      </c>
      <c r="V38" s="437">
        <f ca="1">VLOOKUP($B38,ESG!$C$13:$BJ$42,COLUMN(ESG!BG$12)-2,FALSE)</f>
        <v>25</v>
      </c>
      <c r="W38" s="439">
        <f ca="1">VLOOKUP($B38,III!$C$13:$BC$42,COLUMN(III!AZ$12)-2,FALSE)</f>
        <v>22.112000000000002</v>
      </c>
      <c r="X38" s="436">
        <f ca="1">VLOOKUP($B38,III!$C$13:$BC$42,COLUMN(III!BA$12)-2,FALSE)</f>
        <v>28</v>
      </c>
      <c r="Y38" s="440">
        <f ca="1">VLOOKUP($B38,III!$C$13:$BC$42,COLUMN(III!BB$12)-2,FALSE)</f>
        <v>20.223000000000003</v>
      </c>
      <c r="Z38" s="437">
        <f ca="1">VLOOKUP($B38,III!$C$13:$BC$42,COLUMN(III!BC$12)-2,FALSE)</f>
        <v>28</v>
      </c>
    </row>
    <row r="39" spans="1:26">
      <c r="A39" s="21">
        <v>23</v>
      </c>
      <c r="B39" s="434" t="s">
        <v>57</v>
      </c>
      <c r="C39" s="435" cm="1">
        <f t="array" aca="1" ref="C39" ca="1">SUMPRODUCT(--($G$10:$Z$10="Ranking"),--($G$9:$Z$9=C$9),$G39:$Z39,$G$6:$Z$6)</f>
        <v>20.8</v>
      </c>
      <c r="D39" s="436">
        <f t="shared" ca="1" si="1"/>
        <v>25</v>
      </c>
      <c r="E39" s="437" cm="1">
        <f t="array" aca="1" ref="E39" ca="1">SUMPRODUCT(--($G$10:$Z$10="Ranking"),--($G$9:$Z$9=E$9),$G39:$Z39,$G$6:$Z$6)</f>
        <v>19.600000000000001</v>
      </c>
      <c r="F39" s="437">
        <f t="shared" ca="1" si="2"/>
        <v>23</v>
      </c>
      <c r="G39" s="435">
        <f ca="1">VLOOKUP($B39,RawMaterials!$C$13:$DN$45,COLUMN(RawMaterials!DJ$12)-2,FALSE)</f>
        <v>3</v>
      </c>
      <c r="H39" s="436">
        <f>VLOOKUP($B39,RawMaterials!$C$13:$DN$45,COLUMN(RawMaterials!DK$12)-2,FALSE)</f>
        <v>26</v>
      </c>
      <c r="I39" s="438">
        <f ca="1">VLOOKUP($B39,RawMaterials!$C$13:$DN$45,COLUMN(RawMaterials!DL$12)-2,FALSE)</f>
        <v>2.8</v>
      </c>
      <c r="J39" s="437">
        <f ca="1">VLOOKUP($B39,RawMaterials!$C$13:$DN$45,COLUMN(RawMaterials!DM$12)-2,FALSE)</f>
        <v>24</v>
      </c>
      <c r="K39" s="435">
        <f ca="1">VLOOKUP($B39,BatteryManufacturing!$C$16:$AY$45,COLUMN(BatteryManufacturing!AU$15)-2,FALSE)</f>
        <v>1</v>
      </c>
      <c r="L39" s="436">
        <f>VLOOKUP($B39,BatteryManufacturing!$C$16:$AY$45,COLUMN(BatteryManufacturing!AV$15)-2,FALSE)</f>
        <v>18</v>
      </c>
      <c r="M39" s="438">
        <f ca="1">VLOOKUP($B39,BatteryManufacturing!$C$16:$AY$45,COLUMN(BatteryManufacturing!AW$15)-2,FALSE)</f>
        <v>1.2859999999999998</v>
      </c>
      <c r="N39" s="437">
        <f ca="1">VLOOKUP($B39,BatteryManufacturing!$C$16:$AY$45,COLUMN(BatteryManufacturing!AX$15)-2,FALSE)</f>
        <v>15</v>
      </c>
      <c r="O39" s="436">
        <f ca="1">VLOOKUP($B39,DownstreamDemand!$C$12:$AJ$41,COLUMN(DownstreamDemand!AF$11)-2,FALSE)</f>
        <v>9.5</v>
      </c>
      <c r="P39" s="436">
        <f ca="1">VLOOKUP($B39,DownstreamDemand!$C$12:$AJ$41,COLUMN(DownstreamDemand!AG$11)-2,FALSE)</f>
        <v>16</v>
      </c>
      <c r="Q39" s="437">
        <f ca="1">VLOOKUP($B39,DownstreamDemand!$C$12:$AJ$41,COLUMN(DownstreamDemand!AH$11)-2,FALSE)</f>
        <v>10.5</v>
      </c>
      <c r="R39" s="437">
        <f ca="1">VLOOKUP($B39,DownstreamDemand!$C$12:$AJ$41,COLUMN(DownstreamDemand!AI$11)-2,FALSE)</f>
        <v>17</v>
      </c>
      <c r="S39" s="439">
        <f ca="1">VLOOKUP($B39,ESG!$C$13:$BJ$42,COLUMN(ESG!BD$12)-2,FALSE)</f>
        <v>22.222222222222221</v>
      </c>
      <c r="T39" s="436">
        <f ca="1">VLOOKUP($B39,ESG!$C$13:$BJ$42,COLUMN(ESG!BE$12)-2,FALSE)</f>
        <v>24</v>
      </c>
      <c r="U39" s="440">
        <f ca="1">VLOOKUP($B39,ESG!$C$13:$BJ$42,COLUMN(ESG!BF$12)-2,FALSE)</f>
        <v>22.056000000000001</v>
      </c>
      <c r="V39" s="437">
        <f ca="1">VLOOKUP($B39,ESG!$C$13:$BJ$42,COLUMN(ESG!BG$12)-2,FALSE)</f>
        <v>26</v>
      </c>
      <c r="W39" s="439">
        <f ca="1">VLOOKUP($B39,III!$C$13:$BC$42,COLUMN(III!AZ$12)-2,FALSE)</f>
        <v>17.556000000000001</v>
      </c>
      <c r="X39" s="436">
        <f ca="1">VLOOKUP($B39,III!$C$13:$BC$42,COLUMN(III!BA$12)-2,FALSE)</f>
        <v>20</v>
      </c>
      <c r="Y39" s="440">
        <f ca="1">VLOOKUP($B39,III!$C$13:$BC$42,COLUMN(III!BB$12)-2,FALSE)</f>
        <v>15.722999999999999</v>
      </c>
      <c r="Z39" s="437">
        <f ca="1">VLOOKUP($B39,III!$C$13:$BC$42,COLUMN(III!BC$12)-2,FALSE)</f>
        <v>16</v>
      </c>
    </row>
    <row r="40" spans="1:26">
      <c r="A40" s="21">
        <v>20</v>
      </c>
      <c r="B40" s="441" t="s">
        <v>58</v>
      </c>
      <c r="C40" s="435" cm="1">
        <f t="array" aca="1" ref="C40" ca="1">SUMPRODUCT(--($G$10:$Z$10="Ranking"),--($G$9:$Z$9=C$9),$G40:$Z40,$G$6:$Z$6)</f>
        <v>17</v>
      </c>
      <c r="D40" s="436">
        <f t="shared" ca="1" si="1"/>
        <v>19</v>
      </c>
      <c r="E40" s="442" cm="1">
        <f t="array" aca="1" ref="E40" ca="1">SUMPRODUCT(--($G$10:$Z$10="Ranking"),--($G$9:$Z$9=E$9),$G40:$Z40,$G$6:$Z$6)</f>
        <v>17.400000000000002</v>
      </c>
      <c r="F40" s="442">
        <f t="shared" ca="1" si="2"/>
        <v>19</v>
      </c>
      <c r="G40" s="443">
        <f ca="1">VLOOKUP($B40,RawMaterials!$C$13:$DN$45,COLUMN(RawMaterials!DJ$12)-2,FALSE)</f>
        <v>3.6</v>
      </c>
      <c r="H40" s="444">
        <f>VLOOKUP($B40,RawMaterials!$C$13:$DN$45,COLUMN(RawMaterials!DK$12)-2,FALSE)</f>
        <v>20</v>
      </c>
      <c r="I40" s="438">
        <f ca="1">VLOOKUP($B40,RawMaterials!$C$13:$DN$45,COLUMN(RawMaterials!DL$12)-2,FALSE)</f>
        <v>3.4</v>
      </c>
      <c r="J40" s="442">
        <f ca="1">VLOOKUP($B40,RawMaterials!$C$13:$DN$45,COLUMN(RawMaterials!DM$12)-2,FALSE)</f>
        <v>19</v>
      </c>
      <c r="K40" s="435">
        <f ca="1">VLOOKUP($B40,BatteryManufacturing!$C$16:$AY$45,COLUMN(BatteryManufacturing!AU$15)-2,FALSE)</f>
        <v>1.2859999999999998</v>
      </c>
      <c r="L40" s="436">
        <f>VLOOKUP($B40,BatteryManufacturing!$C$16:$AY$45,COLUMN(BatteryManufacturing!AV$15)-2,FALSE)</f>
        <v>10</v>
      </c>
      <c r="M40" s="438">
        <f ca="1">VLOOKUP($B40,BatteryManufacturing!$C$16:$AY$45,COLUMN(BatteryManufacturing!AW$15)-2,FALSE)</f>
        <v>1.5719999999999998</v>
      </c>
      <c r="N40" s="437">
        <f ca="1">VLOOKUP($B40,BatteryManufacturing!$C$16:$AY$45,COLUMN(BatteryManufacturing!AX$15)-2,FALSE)</f>
        <v>9</v>
      </c>
      <c r="O40" s="436">
        <f ca="1">VLOOKUP($B40,DownstreamDemand!$C$12:$AJ$41,COLUMN(DownstreamDemand!AF$11)-2,FALSE)</f>
        <v>10.5</v>
      </c>
      <c r="P40" s="436">
        <f ca="1">VLOOKUP($B40,DownstreamDemand!$C$12:$AJ$41,COLUMN(DownstreamDemand!AG$11)-2,FALSE)</f>
        <v>17</v>
      </c>
      <c r="Q40" s="437">
        <f ca="1">VLOOKUP($B40,DownstreamDemand!$C$12:$AJ$41,COLUMN(DownstreamDemand!AH$11)-2,FALSE)</f>
        <v>12</v>
      </c>
      <c r="R40" s="437">
        <f ca="1">VLOOKUP($B40,DownstreamDemand!$C$12:$AJ$41,COLUMN(DownstreamDemand!AI$11)-2,FALSE)</f>
        <v>21</v>
      </c>
      <c r="S40" s="439">
        <f ca="1">VLOOKUP($B40,ESG!$C$13:$BJ$42,COLUMN(ESG!BD$12)-2,FALSE)</f>
        <v>19.388888888888889</v>
      </c>
      <c r="T40" s="436">
        <f ca="1">VLOOKUP($B40,ESG!$C$13:$BJ$42,COLUMN(ESG!BE$12)-2,FALSE)</f>
        <v>20</v>
      </c>
      <c r="U40" s="440">
        <f ca="1">VLOOKUP($B40,ESG!$C$13:$BJ$42,COLUMN(ESG!BF$12)-2,FALSE)</f>
        <v>19.723000000000003</v>
      </c>
      <c r="V40" s="437">
        <f ca="1">VLOOKUP($B40,ESG!$C$13:$BJ$42,COLUMN(ESG!BG$12)-2,FALSE)</f>
        <v>19</v>
      </c>
      <c r="W40" s="439">
        <f ca="1">VLOOKUP($B40,III!$C$13:$BC$42,COLUMN(III!AZ$12)-2,FALSE)</f>
        <v>16.945</v>
      </c>
      <c r="X40" s="436">
        <f ca="1">VLOOKUP($B40,III!$C$13:$BC$42,COLUMN(III!BA$12)-2,FALSE)</f>
        <v>18</v>
      </c>
      <c r="Y40" s="440">
        <f ca="1">VLOOKUP($B40,III!$C$13:$BC$42,COLUMN(III!BB$12)-2,FALSE)</f>
        <v>16.862000000000002</v>
      </c>
      <c r="Z40" s="437">
        <f ca="1">VLOOKUP($B40,III!$C$13:$BC$42,COLUMN(III!BC$12)-2,FALSE)</f>
        <v>19</v>
      </c>
    </row>
  </sheetData>
  <sheetProtection formatCells="0"/>
  <mergeCells count="7">
    <mergeCell ref="W8:Z8"/>
    <mergeCell ref="B8:B10"/>
    <mergeCell ref="C8:F8"/>
    <mergeCell ref="G8:J8"/>
    <mergeCell ref="K8:N8"/>
    <mergeCell ref="O8:R8"/>
    <mergeCell ref="S8:V8"/>
  </mergeCells>
  <hyperlinks>
    <hyperlink ref="A6" location="rng_Cover_Copyright" display="Subject to terms and conditions" xr:uid="{8668C1BD-E885-4762-A8CD-6540AF3B52A9}"/>
  </hyperlink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6A4C9-969C-4F82-BE87-D34BA543C7E9}">
  <sheetPr codeName="Sheet15"/>
  <dimension ref="A1:DQ69"/>
  <sheetViews>
    <sheetView showGridLines="0" zoomScaleNormal="100" workbookViewId="0">
      <pane xSplit="3" ySplit="12" topLeftCell="AX13" activePane="bottomRight" state="frozen"/>
      <selection activeCell="C61" sqref="C61"/>
      <selection pane="topRight" activeCell="C61" sqref="C61"/>
      <selection pane="bottomLeft" activeCell="C61" sqref="C61"/>
      <selection pane="bottomRight" activeCell="BL12" sqref="BL12"/>
    </sheetView>
  </sheetViews>
  <sheetFormatPr defaultColWidth="9.140625" defaultRowHeight="12.75" outlineLevelRow="1"/>
  <cols>
    <col min="1" max="1" width="10.7109375" style="21" customWidth="1"/>
    <col min="2" max="2" width="16.42578125" style="21" customWidth="1"/>
    <col min="3" max="3" width="10.140625" style="21" customWidth="1"/>
    <col min="4" max="4" width="9.140625" style="21" customWidth="1"/>
    <col min="5" max="6" width="6.7109375" style="21" customWidth="1"/>
    <col min="7" max="7" width="9.140625" style="21" customWidth="1"/>
    <col min="8" max="9" width="6.7109375" style="21" customWidth="1"/>
    <col min="10" max="10" width="9.140625" style="21" customWidth="1"/>
    <col min="11" max="12" width="6.7109375" style="21" customWidth="1"/>
    <col min="13" max="13" width="9.140625" style="21" customWidth="1"/>
    <col min="14" max="15" width="6.7109375" style="21" customWidth="1"/>
    <col min="16" max="16" width="9.140625" style="21" customWidth="1"/>
    <col min="17" max="18" width="6.7109375" style="21" customWidth="1"/>
    <col min="19" max="19" width="9.140625" style="21" customWidth="1"/>
    <col min="20" max="21" width="6.7109375" style="21" customWidth="1"/>
    <col min="22" max="22" width="14.42578125" style="21" customWidth="1"/>
    <col min="23" max="23" width="6.7109375" style="21" customWidth="1"/>
    <col min="24" max="24" width="13.85546875" style="21" customWidth="1"/>
    <col min="25" max="25" width="6.7109375" style="21" customWidth="1"/>
    <col min="26" max="26" width="9.140625" style="21" customWidth="1"/>
    <col min="27" max="28" width="6.7109375" style="21" customWidth="1"/>
    <col min="29" max="29" width="9.140625" style="21" customWidth="1"/>
    <col min="30" max="31" width="6.7109375" style="21" customWidth="1"/>
    <col min="32" max="32" width="9.140625" style="21" customWidth="1"/>
    <col min="33" max="34" width="6.7109375" style="21" customWidth="1"/>
    <col min="35" max="35" width="9.140625" style="21" customWidth="1"/>
    <col min="36" max="37" width="6.7109375" style="21" customWidth="1"/>
    <col min="38" max="38" width="9.140625" style="21" customWidth="1"/>
    <col min="39" max="40" width="6.7109375" style="21" customWidth="1"/>
    <col min="41" max="41" width="9.140625" style="21" customWidth="1"/>
    <col min="42" max="43" width="6.7109375" style="21" customWidth="1"/>
    <col min="44" max="44" width="14.42578125" style="21" customWidth="1"/>
    <col min="45" max="45" width="6.7109375" style="21" customWidth="1"/>
    <col min="46" max="46" width="13.85546875" style="21" customWidth="1"/>
    <col min="47" max="47" width="6.7109375" style="21" customWidth="1"/>
    <col min="48" max="48" width="9.140625" style="21" customWidth="1"/>
    <col min="49" max="50" width="6.7109375" style="21" customWidth="1"/>
    <col min="51" max="51" width="9.140625" style="21" customWidth="1"/>
    <col min="52" max="53" width="6.7109375" style="21" customWidth="1"/>
    <col min="54" max="54" width="9.140625" style="21" customWidth="1"/>
    <col min="55" max="56" width="6.7109375" style="21" customWidth="1"/>
    <col min="57" max="57" width="9.140625" style="21" customWidth="1"/>
    <col min="58" max="59" width="6.7109375" style="21" customWidth="1"/>
    <col min="60" max="60" width="9.140625" style="21" customWidth="1"/>
    <col min="61" max="62" width="6.7109375" style="21" customWidth="1"/>
    <col min="63" max="63" width="9.140625" style="21" customWidth="1"/>
    <col min="64" max="65" width="6.7109375" style="21" customWidth="1"/>
    <col min="66" max="66" width="14.42578125" style="21" customWidth="1"/>
    <col min="67" max="67" width="6.7109375" style="21" customWidth="1"/>
    <col min="68" max="68" width="13.85546875" style="21" customWidth="1"/>
    <col min="69" max="69" width="6.7109375" style="21" customWidth="1"/>
    <col min="70" max="70" width="9.140625" style="21" customWidth="1"/>
    <col min="71" max="72" width="6.7109375" style="21" customWidth="1"/>
    <col min="73" max="73" width="9.140625" style="21" customWidth="1"/>
    <col min="74" max="75" width="6.7109375" style="21" customWidth="1"/>
    <col min="76" max="76" width="9.140625" style="21" customWidth="1"/>
    <col min="77" max="78" width="6.7109375" style="21" customWidth="1"/>
    <col min="79" max="79" width="9.140625" style="21" customWidth="1"/>
    <col min="80" max="81" width="6.7109375" style="21" customWidth="1"/>
    <col min="82" max="82" width="9.140625" style="21" customWidth="1"/>
    <col min="83" max="84" width="6.7109375" style="21" customWidth="1"/>
    <col min="85" max="85" width="9.140625" style="21" customWidth="1"/>
    <col min="86" max="87" width="6.7109375" style="21" customWidth="1"/>
    <col min="88" max="88" width="14.42578125" style="21" customWidth="1"/>
    <col min="89" max="89" width="6.7109375" style="21" customWidth="1"/>
    <col min="90" max="90" width="13.85546875" style="21" customWidth="1"/>
    <col min="91" max="91" width="6.7109375" style="21" customWidth="1"/>
    <col min="92" max="92" width="9.140625" style="21" customWidth="1"/>
    <col min="93" max="94" width="6.7109375" style="21" customWidth="1"/>
    <col min="95" max="95" width="9.140625" style="21" customWidth="1"/>
    <col min="96" max="97" width="6.7109375" style="21" customWidth="1"/>
    <col min="98" max="98" width="9.140625" style="21" customWidth="1"/>
    <col min="99" max="100" width="6.7109375" style="21" customWidth="1"/>
    <col min="101" max="101" width="9.140625" style="21" customWidth="1"/>
    <col min="102" max="103" width="6.7109375" style="21" customWidth="1"/>
    <col min="104" max="104" width="9.140625" style="21" customWidth="1"/>
    <col min="105" max="106" width="6.7109375" style="21" customWidth="1"/>
    <col min="107" max="107" width="9.140625" style="21" customWidth="1"/>
    <col min="108" max="109" width="6.7109375" style="21" customWidth="1"/>
    <col min="110" max="110" width="14.42578125" style="21" customWidth="1"/>
    <col min="111" max="111" width="6.7109375" style="21" customWidth="1"/>
    <col min="112" max="112" width="13.85546875" style="21" customWidth="1"/>
    <col min="113" max="113" width="6.7109375" style="21" customWidth="1"/>
    <col min="114" max="114" width="11.42578125" style="21" bestFit="1" customWidth="1"/>
    <col min="115" max="115" width="9.140625" style="21"/>
    <col min="116" max="116" width="9.5703125" style="21" bestFit="1" customWidth="1"/>
    <col min="117" max="118" width="9.140625" style="21"/>
    <col min="119" max="120" width="16.42578125" style="21" customWidth="1"/>
    <col min="121" max="16384" width="9.140625" style="21"/>
  </cols>
  <sheetData>
    <row r="1" spans="1:121" s="24" customFormat="1" ht="38.1" customHeight="1">
      <c r="G1" s="24" t="str" cm="1">
        <f t="array" aca="1" ref="G1" ca="1">IFERROR(MID(CELL("filename",A1),FIND("]",CELL("filename",A1))+1,255),"(Becomes sheet name when saved; delete if not required.)")</f>
        <v>RawMaterials</v>
      </c>
      <c r="J1" s="24">
        <f>COLUMN()</f>
        <v>10</v>
      </c>
      <c r="K1" s="24">
        <f>COLUMN()</f>
        <v>11</v>
      </c>
      <c r="L1" s="24">
        <f>COLUMN()</f>
        <v>12</v>
      </c>
      <c r="M1" s="24">
        <f>COLUMN()</f>
        <v>13</v>
      </c>
      <c r="N1" s="24">
        <f>COLUMN()</f>
        <v>14</v>
      </c>
      <c r="O1" s="24">
        <f>COLUMN()</f>
        <v>15</v>
      </c>
      <c r="P1" s="24">
        <f>COLUMN()</f>
        <v>16</v>
      </c>
      <c r="Q1" s="24">
        <f>COLUMN()</f>
        <v>17</v>
      </c>
      <c r="R1" s="24">
        <f>COLUMN()</f>
        <v>18</v>
      </c>
      <c r="S1" s="24">
        <f>COLUMN()</f>
        <v>19</v>
      </c>
      <c r="T1" s="24">
        <f>COLUMN()</f>
        <v>20</v>
      </c>
      <c r="U1" s="24">
        <f>COLUMN()</f>
        <v>21</v>
      </c>
      <c r="V1" s="24">
        <f>COLUMN()</f>
        <v>22</v>
      </c>
      <c r="W1" s="24">
        <f>COLUMN()</f>
        <v>23</v>
      </c>
      <c r="X1" s="24">
        <f>COLUMN()</f>
        <v>24</v>
      </c>
      <c r="Y1" s="24">
        <f>COLUMN()</f>
        <v>25</v>
      </c>
      <c r="Z1" s="24">
        <f>COLUMN()</f>
        <v>26</v>
      </c>
      <c r="AA1" s="24">
        <f>COLUMN()</f>
        <v>27</v>
      </c>
      <c r="AB1" s="24">
        <f>COLUMN()</f>
        <v>28</v>
      </c>
      <c r="AC1" s="24">
        <f>COLUMN()</f>
        <v>29</v>
      </c>
      <c r="AD1" s="24">
        <f>COLUMN()</f>
        <v>30</v>
      </c>
      <c r="AE1" s="24">
        <f>COLUMN()</f>
        <v>31</v>
      </c>
      <c r="AF1" s="24">
        <f>COLUMN()</f>
        <v>32</v>
      </c>
      <c r="AG1" s="24">
        <f>COLUMN()</f>
        <v>33</v>
      </c>
      <c r="AH1" s="24">
        <f>COLUMN()</f>
        <v>34</v>
      </c>
      <c r="AI1" s="24">
        <f>COLUMN()</f>
        <v>35</v>
      </c>
      <c r="AJ1" s="24">
        <f>COLUMN()</f>
        <v>36</v>
      </c>
      <c r="AK1" s="24">
        <f>COLUMN()</f>
        <v>37</v>
      </c>
      <c r="AL1" s="24">
        <f>COLUMN()</f>
        <v>38</v>
      </c>
      <c r="AM1" s="24">
        <f>COLUMN()</f>
        <v>39</v>
      </c>
      <c r="AN1" s="24">
        <f>COLUMN()</f>
        <v>40</v>
      </c>
      <c r="AO1" s="24">
        <f>COLUMN()</f>
        <v>41</v>
      </c>
      <c r="AP1" s="24">
        <f>COLUMN()</f>
        <v>42</v>
      </c>
      <c r="AQ1" s="24">
        <f>COLUMN()</f>
        <v>43</v>
      </c>
      <c r="AR1" s="24">
        <f>COLUMN()</f>
        <v>44</v>
      </c>
      <c r="AS1" s="24">
        <f>COLUMN()</f>
        <v>45</v>
      </c>
      <c r="AT1" s="24">
        <f>COLUMN()</f>
        <v>46</v>
      </c>
      <c r="AU1" s="24">
        <f>COLUMN()</f>
        <v>47</v>
      </c>
      <c r="AV1" s="24">
        <f>COLUMN()</f>
        <v>48</v>
      </c>
      <c r="AW1" s="24">
        <f>COLUMN()</f>
        <v>49</v>
      </c>
      <c r="AX1" s="24">
        <f>COLUMN()</f>
        <v>50</v>
      </c>
      <c r="AY1" s="24">
        <f>COLUMN()</f>
        <v>51</v>
      </c>
      <c r="AZ1" s="24">
        <f>COLUMN()</f>
        <v>52</v>
      </c>
      <c r="BA1" s="24">
        <f>COLUMN()</f>
        <v>53</v>
      </c>
      <c r="BB1" s="24">
        <f>COLUMN()</f>
        <v>54</v>
      </c>
      <c r="BC1" s="24">
        <f>COLUMN()</f>
        <v>55</v>
      </c>
      <c r="BD1" s="24">
        <f>COLUMN()</f>
        <v>56</v>
      </c>
      <c r="BE1" s="24">
        <f>COLUMN()</f>
        <v>57</v>
      </c>
      <c r="BF1" s="24">
        <f>COLUMN()</f>
        <v>58</v>
      </c>
      <c r="BG1" s="24">
        <f>COLUMN()</f>
        <v>59</v>
      </c>
      <c r="BH1" s="24">
        <f>COLUMN()</f>
        <v>60</v>
      </c>
      <c r="BI1" s="24">
        <f>COLUMN()</f>
        <v>61</v>
      </c>
      <c r="BJ1" s="24">
        <f>COLUMN()</f>
        <v>62</v>
      </c>
      <c r="BK1" s="24">
        <f>COLUMN()</f>
        <v>63</v>
      </c>
      <c r="BL1" s="24">
        <f>COLUMN()</f>
        <v>64</v>
      </c>
      <c r="BM1" s="24">
        <f>COLUMN()</f>
        <v>65</v>
      </c>
      <c r="BN1" s="24">
        <f>COLUMN()</f>
        <v>66</v>
      </c>
      <c r="BO1" s="24">
        <f>COLUMN()</f>
        <v>67</v>
      </c>
      <c r="BP1" s="24">
        <f>COLUMN()</f>
        <v>68</v>
      </c>
      <c r="BQ1" s="24">
        <f>COLUMN()</f>
        <v>69</v>
      </c>
      <c r="BR1" s="24">
        <f>COLUMN()</f>
        <v>70</v>
      </c>
      <c r="BS1" s="24">
        <f>COLUMN()</f>
        <v>71</v>
      </c>
      <c r="BT1" s="24">
        <f>COLUMN()</f>
        <v>72</v>
      </c>
      <c r="BU1" s="24">
        <f>COLUMN()</f>
        <v>73</v>
      </c>
      <c r="BV1" s="24">
        <f>COLUMN()</f>
        <v>74</v>
      </c>
      <c r="BW1" s="24">
        <f>COLUMN()</f>
        <v>75</v>
      </c>
      <c r="BX1" s="24">
        <f>COLUMN()</f>
        <v>76</v>
      </c>
      <c r="BY1" s="24">
        <f>COLUMN()</f>
        <v>77</v>
      </c>
      <c r="BZ1" s="24">
        <f>COLUMN()</f>
        <v>78</v>
      </c>
      <c r="CA1" s="24">
        <f>COLUMN()</f>
        <v>79</v>
      </c>
      <c r="CB1" s="24">
        <f>COLUMN()</f>
        <v>80</v>
      </c>
      <c r="CC1" s="24">
        <f>COLUMN()</f>
        <v>81</v>
      </c>
      <c r="CD1" s="24">
        <f>COLUMN()</f>
        <v>82</v>
      </c>
      <c r="CE1" s="24">
        <f>COLUMN()</f>
        <v>83</v>
      </c>
      <c r="CF1" s="24">
        <f>COLUMN()</f>
        <v>84</v>
      </c>
      <c r="CG1" s="24">
        <f>COLUMN()</f>
        <v>85</v>
      </c>
      <c r="CH1" s="24">
        <f>COLUMN()</f>
        <v>86</v>
      </c>
      <c r="CI1" s="24">
        <f>COLUMN()</f>
        <v>87</v>
      </c>
      <c r="CJ1" s="24">
        <f>COLUMN()</f>
        <v>88</v>
      </c>
      <c r="CK1" s="24">
        <f>COLUMN()</f>
        <v>89</v>
      </c>
      <c r="CL1" s="24">
        <f>COLUMN()</f>
        <v>90</v>
      </c>
      <c r="CM1" s="24">
        <f>COLUMN()</f>
        <v>91</v>
      </c>
      <c r="CN1" s="24">
        <f>COLUMN()</f>
        <v>92</v>
      </c>
      <c r="CO1" s="24">
        <f>COLUMN()</f>
        <v>93</v>
      </c>
      <c r="CP1" s="24">
        <f>COLUMN()</f>
        <v>94</v>
      </c>
      <c r="CQ1" s="24">
        <f>COLUMN()</f>
        <v>95</v>
      </c>
      <c r="CR1" s="24">
        <f>COLUMN()</f>
        <v>96</v>
      </c>
      <c r="CS1" s="24">
        <f>COLUMN()</f>
        <v>97</v>
      </c>
      <c r="CT1" s="24">
        <f>COLUMN()</f>
        <v>98</v>
      </c>
      <c r="CU1" s="24">
        <f>COLUMN()</f>
        <v>99</v>
      </c>
      <c r="CV1" s="24">
        <f>COLUMN()</f>
        <v>100</v>
      </c>
      <c r="CW1" s="24">
        <f>COLUMN()</f>
        <v>101</v>
      </c>
      <c r="CX1" s="24">
        <f>COLUMN()</f>
        <v>102</v>
      </c>
      <c r="CY1" s="24">
        <f>COLUMN()</f>
        <v>103</v>
      </c>
      <c r="CZ1" s="24">
        <f>COLUMN()</f>
        <v>104</v>
      </c>
      <c r="DA1" s="24">
        <f>COLUMN()</f>
        <v>105</v>
      </c>
      <c r="DB1" s="24">
        <f>COLUMN()</f>
        <v>106</v>
      </c>
      <c r="DC1" s="24">
        <f>COLUMN()</f>
        <v>107</v>
      </c>
      <c r="DD1" s="24">
        <f>COLUMN()</f>
        <v>108</v>
      </c>
      <c r="DE1" s="24">
        <f>COLUMN()</f>
        <v>109</v>
      </c>
      <c r="DF1" s="24">
        <f>COLUMN()</f>
        <v>110</v>
      </c>
      <c r="DG1" s="24">
        <f>COLUMN()</f>
        <v>111</v>
      </c>
      <c r="DH1" s="24">
        <f>COLUMN()</f>
        <v>112</v>
      </c>
      <c r="DI1" s="24">
        <f>COLUMN()</f>
        <v>113</v>
      </c>
      <c r="DJ1" s="24">
        <f>COLUMN()</f>
        <v>114</v>
      </c>
      <c r="DK1" s="24">
        <f>COLUMN()</f>
        <v>115</v>
      </c>
      <c r="DL1" s="24">
        <f>COLUMN()</f>
        <v>116</v>
      </c>
      <c r="DM1" s="24">
        <f>COLUMN()</f>
        <v>117</v>
      </c>
    </row>
    <row r="2" spans="1:121" s="34" customFormat="1"/>
    <row r="3" spans="1:121" s="34" customFormat="1" ht="15">
      <c r="A3" s="39" t="s">
        <v>19</v>
      </c>
      <c r="B3" s="20" t="s">
        <v>325</v>
      </c>
      <c r="D3" s="431">
        <f>IF(D6="Score",IFERROR(VLOOKUP($G$1&amp;D5&amp;D4,RawData!$A$3:$I$22,8,FALSE),0),0)</f>
        <v>0</v>
      </c>
      <c r="E3" s="431">
        <f>IF(E6="Score",IFERROR(VLOOKUP($G$1&amp;E5&amp;E4,RawData!$A$3:$I$22,8,FALSE),0),0)</f>
        <v>0</v>
      </c>
      <c r="F3" s="431">
        <f ca="1">IF(F6="Score",IFERROR(VLOOKUP($G$1&amp;F5&amp;F4,RawData!$A$3:$I$22,8,FALSE),0),0)</f>
        <v>0</v>
      </c>
      <c r="G3" s="431">
        <f>IF(G6="Score",IFERROR(VLOOKUP($G$1&amp;G5&amp;G4,RawData!$A$3:$I$22,8,FALSE),0),0)</f>
        <v>0</v>
      </c>
      <c r="H3" s="431">
        <f>IF(H6="Score",IFERROR(VLOOKUP($G$1&amp;H5&amp;H4,RawData!$A$3:$I$22,8,FALSE),0),0)</f>
        <v>0</v>
      </c>
      <c r="I3" s="431">
        <f ca="1">IF(I6="Score",IFERROR(VLOOKUP($G$1&amp;I5&amp;I4,RawData!$A$3:$I$22,8,FALSE),0),0)</f>
        <v>0</v>
      </c>
      <c r="J3" s="431">
        <f>IF(J6="Score",IFERROR(VLOOKUP($G$1&amp;J5&amp;J4,RawData!$A$3:$I$22,8,FALSE),0),0)</f>
        <v>0</v>
      </c>
      <c r="K3" s="431">
        <f>IF(K6="Score",IFERROR(VLOOKUP($G$1&amp;K5&amp;K4,RawData!$A$3:$I$22,8,FALSE),0),0)</f>
        <v>0</v>
      </c>
      <c r="L3" s="431">
        <f ca="1">IF(L6="Score",IFERROR(VLOOKUP($G$1&amp;L5&amp;L4,RawData!$A$3:$I$22,8,FALSE),0),0)</f>
        <v>0</v>
      </c>
      <c r="M3" s="431">
        <f>IF(M6="Score",IFERROR(VLOOKUP($G$1&amp;M5&amp;M4,RawData!$A$3:$I$22,8,FALSE),0),0)</f>
        <v>0</v>
      </c>
      <c r="N3" s="431">
        <f>IF(N6="Score",IFERROR(VLOOKUP($G$1&amp;N5&amp;N4,RawData!$A$3:$I$22,8,FALSE),0),0)</f>
        <v>0</v>
      </c>
      <c r="O3" s="431">
        <f ca="1">IF(O6="Score",IFERROR(VLOOKUP($G$1&amp;O5&amp;O4,RawData!$A$3:$I$22,8,FALSE),0),0)</f>
        <v>0</v>
      </c>
      <c r="P3" s="431">
        <f>IF(P6="Score",IFERROR(VLOOKUP($G$1&amp;P5&amp;P4,RawData!$A$3:$I$22,8,FALSE),0),0)</f>
        <v>0</v>
      </c>
      <c r="Q3" s="431">
        <f>IF(Q6="Score",IFERROR(VLOOKUP($G$1&amp;Q5&amp;Q4,RawData!$A$3:$I$22,8,FALSE),0),0)</f>
        <v>0</v>
      </c>
      <c r="R3" s="431">
        <f ca="1">IF(R6="Score",IFERROR(VLOOKUP($G$1&amp;R5&amp;R4,RawData!$A$3:$I$22,8,FALSE),0),0)</f>
        <v>0</v>
      </c>
      <c r="S3" s="431">
        <f>IF(S6="Score",IFERROR(VLOOKUP($G$1&amp;S5&amp;S4,RawData!$A$3:$I$22,8,FALSE),0),0)</f>
        <v>0</v>
      </c>
      <c r="T3" s="431">
        <f>IF(T6="Score",IFERROR(VLOOKUP($G$1&amp;T5&amp;T4,RawData!$A$3:$I$22,8,FALSE),0),0)</f>
        <v>0</v>
      </c>
      <c r="U3" s="431">
        <f ca="1">IF(U6="Score",IFERROR(VLOOKUP($G$1&amp;U5&amp;U4,RawData!$A$3:$I$22,8,FALSE),0),0)</f>
        <v>0</v>
      </c>
      <c r="V3" s="431">
        <f ca="1">IF(V6="Score",IFERROR(VLOOKUP($G$1&amp;V5&amp;V4,RawData!$A$3:$I$22,8,FALSE),0),0)</f>
        <v>0.2</v>
      </c>
      <c r="W3" s="431">
        <f>IF(W6="Score",IFERROR(VLOOKUP($G$1&amp;W5&amp;W4,RawData!$A$3:$I$22,8,FALSE),0),0)</f>
        <v>0</v>
      </c>
      <c r="X3" s="431">
        <f ca="1">IF(X6="Score",IFERROR(VLOOKUP($G$1&amp;X5&amp;X4,RawData!$A$3:$I$22,8,FALSE),0),0)</f>
        <v>0.2</v>
      </c>
      <c r="Y3" s="431">
        <f>IF(Y6="Score",IFERROR(VLOOKUP($G$1&amp;Y5&amp;Y4,RawData!$A$3:$I$22,8,FALSE),0),0)</f>
        <v>0</v>
      </c>
      <c r="Z3" s="431">
        <f>IF(Z6="Score",IFERROR(VLOOKUP($G$1&amp;Z5&amp;Z4,RawData!$A$3:$I$22,8,FALSE),0),0)</f>
        <v>0</v>
      </c>
      <c r="AA3" s="431">
        <f>IF(AA6="Score",IFERROR(VLOOKUP($G$1&amp;AA5&amp;AA4,RawData!$A$3:$I$22,8,FALSE),0),0)</f>
        <v>0</v>
      </c>
      <c r="AB3" s="431">
        <f ca="1">IF(AB6="Score",IFERROR(VLOOKUP($G$1&amp;AB5&amp;AB4,RawData!$A$3:$I$22,8,FALSE),0),0)</f>
        <v>0</v>
      </c>
      <c r="AC3" s="431">
        <f>IF(AC6="Score",IFERROR(VLOOKUP($G$1&amp;AC5&amp;AC4,RawData!$A$3:$I$22,8,FALSE),0),0)</f>
        <v>0</v>
      </c>
      <c r="AD3" s="431">
        <f>IF(AD6="Score",IFERROR(VLOOKUP($G$1&amp;AD5&amp;AD4,RawData!$A$3:$I$22,8,FALSE),0),0)</f>
        <v>0</v>
      </c>
      <c r="AE3" s="431">
        <f ca="1">IF(AE6="Score",IFERROR(VLOOKUP($G$1&amp;AE5&amp;AE4,RawData!$A$3:$I$22,8,FALSE),0),0)</f>
        <v>0</v>
      </c>
      <c r="AF3" s="431">
        <f>IF(AF6="Score",IFERROR(VLOOKUP($G$1&amp;AF5&amp;AF4,RawData!$A$3:$I$22,8,FALSE),0),0)</f>
        <v>0</v>
      </c>
      <c r="AG3" s="431">
        <f>IF(AG6="Score",IFERROR(VLOOKUP($G$1&amp;AG5&amp;AG4,RawData!$A$3:$I$22,8,FALSE),0),0)</f>
        <v>0</v>
      </c>
      <c r="AH3" s="431">
        <f ca="1">IF(AH6="Score",IFERROR(VLOOKUP($G$1&amp;AH5&amp;AH4,RawData!$A$3:$I$22,8,FALSE),0),0)</f>
        <v>0</v>
      </c>
      <c r="AI3" s="431">
        <f>IF(AI6="Score",IFERROR(VLOOKUP($G$1&amp;AI5&amp;AI4,RawData!$A$3:$I$22,8,FALSE),0),0)</f>
        <v>0</v>
      </c>
      <c r="AJ3" s="431">
        <f>IF(AJ6="Score",IFERROR(VLOOKUP($G$1&amp;AJ5&amp;AJ4,RawData!$A$3:$I$22,8,FALSE),0),0)</f>
        <v>0</v>
      </c>
      <c r="AK3" s="431">
        <f ca="1">IF(AK6="Score",IFERROR(VLOOKUP($G$1&amp;AK5&amp;AK4,RawData!$A$3:$I$22,8,FALSE),0),0)</f>
        <v>0</v>
      </c>
      <c r="AL3" s="431">
        <f>IF(AL6="Score",IFERROR(VLOOKUP($G$1&amp;AL5&amp;AL4,RawData!$A$3:$I$22,8,FALSE),0),0)</f>
        <v>0</v>
      </c>
      <c r="AM3" s="431">
        <f>IF(AM6="Score",IFERROR(VLOOKUP($G$1&amp;AM5&amp;AM4,RawData!$A$3:$I$22,8,FALSE),0),0)</f>
        <v>0</v>
      </c>
      <c r="AN3" s="431">
        <f ca="1">IF(AN6="Score",IFERROR(VLOOKUP($G$1&amp;AN5&amp;AN4,RawData!$A$3:$I$22,8,FALSE),0),0)</f>
        <v>0</v>
      </c>
      <c r="AO3" s="431">
        <f>IF(AO6="Score",IFERROR(VLOOKUP($G$1&amp;AO5&amp;AO4,RawData!$A$3:$I$22,8,FALSE),0),0)</f>
        <v>0</v>
      </c>
      <c r="AP3" s="431">
        <f>IF(AP6="Score",IFERROR(VLOOKUP($G$1&amp;AP5&amp;AP4,RawData!$A$3:$I$22,8,FALSE),0),0)</f>
        <v>0</v>
      </c>
      <c r="AQ3" s="431">
        <f ca="1">IF(AQ6="Score",IFERROR(VLOOKUP($G$1&amp;AQ5&amp;AQ4,RawData!$A$3:$I$22,8,FALSE),0),0)</f>
        <v>0</v>
      </c>
      <c r="AR3" s="431">
        <f ca="1">IF(AR6="Score",IFERROR(VLOOKUP($G$1&amp;AR5&amp;AR4,RawData!$A$3:$I$22,8,FALSE),0),0)</f>
        <v>0.2</v>
      </c>
      <c r="AS3" s="431">
        <f>IF(AS6="Score",IFERROR(VLOOKUP($G$1&amp;AS5&amp;AS4,RawData!$A$3:$I$22,8,FALSE),0),0)</f>
        <v>0</v>
      </c>
      <c r="AT3" s="431">
        <f ca="1">IF(AT6="Score",IFERROR(VLOOKUP($G$1&amp;AT5&amp;AT4,RawData!$A$3:$I$22,8,FALSE),0),0)</f>
        <v>0.2</v>
      </c>
      <c r="AU3" s="431">
        <f>IF(AU6="Score",IFERROR(VLOOKUP($G$1&amp;AU5&amp;AU4,RawData!$A$3:$I$22,8,FALSE),0),0)</f>
        <v>0</v>
      </c>
      <c r="AV3" s="431">
        <f>IF(AV6="Score",IFERROR(VLOOKUP($G$1&amp;AV5&amp;AV4,RawData!$A$3:$I$22,8,FALSE),0),0)</f>
        <v>0</v>
      </c>
      <c r="AW3" s="431">
        <f>IF(AW6="Score",IFERROR(VLOOKUP($G$1&amp;AW5&amp;AW4,RawData!$A$3:$I$22,8,FALSE),0),0)</f>
        <v>0</v>
      </c>
      <c r="AX3" s="431">
        <f ca="1">IF(AX6="Score",IFERROR(VLOOKUP($G$1&amp;AX5&amp;AX4,RawData!$A$3:$I$22,8,FALSE),0),0)</f>
        <v>0</v>
      </c>
      <c r="AY3" s="431">
        <f>IF(AY6="Score",IFERROR(VLOOKUP($G$1&amp;AY5&amp;AY4,RawData!$A$3:$I$22,8,FALSE),0),0)</f>
        <v>0</v>
      </c>
      <c r="AZ3" s="431">
        <f>IF(AZ6="Score",IFERROR(VLOOKUP($G$1&amp;AZ5&amp;AZ4,RawData!$A$3:$I$22,8,FALSE),0),0)</f>
        <v>0</v>
      </c>
      <c r="BA3" s="431">
        <f ca="1">IF(BA6="Score",IFERROR(VLOOKUP($G$1&amp;BA5&amp;BA4,RawData!$A$3:$I$22,8,FALSE),0),0)</f>
        <v>0</v>
      </c>
      <c r="BB3" s="431">
        <f>IF(BB6="Score",IFERROR(VLOOKUP($G$1&amp;BB5&amp;BB4,RawData!$A$3:$I$22,8,FALSE),0),0)</f>
        <v>0</v>
      </c>
      <c r="BC3" s="431">
        <f>IF(BC6="Score",IFERROR(VLOOKUP($G$1&amp;BC5&amp;BC4,RawData!$A$3:$I$22,8,FALSE),0),0)</f>
        <v>0</v>
      </c>
      <c r="BD3" s="431">
        <f ca="1">IF(BD6="Score",IFERROR(VLOOKUP($G$1&amp;BD5&amp;BD4,RawData!$A$3:$I$22,8,FALSE),0),0)</f>
        <v>0</v>
      </c>
      <c r="BE3" s="431">
        <f>IF(BE6="Score",IFERROR(VLOOKUP($G$1&amp;BE5&amp;BE4,RawData!$A$3:$I$22,8,FALSE),0),0)</f>
        <v>0</v>
      </c>
      <c r="BF3" s="431">
        <f>IF(BF6="Score",IFERROR(VLOOKUP($G$1&amp;BF5&amp;BF4,RawData!$A$3:$I$22,8,FALSE),0),0)</f>
        <v>0</v>
      </c>
      <c r="BG3" s="431">
        <f ca="1">IF(BG6="Score",IFERROR(VLOOKUP($G$1&amp;BG5&amp;BG4,RawData!$A$3:$I$22,8,FALSE),0),0)</f>
        <v>0</v>
      </c>
      <c r="BH3" s="431">
        <f>IF(BH6="Score",IFERROR(VLOOKUP($G$1&amp;BH5&amp;BH4,RawData!$A$3:$I$22,8,FALSE),0),0)</f>
        <v>0</v>
      </c>
      <c r="BI3" s="431">
        <f>IF(BI6="Score",IFERROR(VLOOKUP($G$1&amp;BI5&amp;BI4,RawData!$A$3:$I$22,8,FALSE),0),0)</f>
        <v>0</v>
      </c>
      <c r="BJ3" s="431">
        <f ca="1">IF(BJ6="Score",IFERROR(VLOOKUP($G$1&amp;BJ5&amp;BJ4,RawData!$A$3:$I$22,8,FALSE),0),0)</f>
        <v>0</v>
      </c>
      <c r="BK3" s="431">
        <f>IF(BK6="Score",IFERROR(VLOOKUP($G$1&amp;BK5&amp;BK4,RawData!$A$3:$I$22,8,FALSE),0),0)</f>
        <v>0</v>
      </c>
      <c r="BL3" s="431">
        <f>IF(BL6="Score",IFERROR(VLOOKUP($G$1&amp;BL5&amp;BL4,RawData!$A$3:$I$22,8,FALSE),0),0)</f>
        <v>0</v>
      </c>
      <c r="BM3" s="431">
        <f ca="1">IF(BM6="Score",IFERROR(VLOOKUP($G$1&amp;BM5&amp;BM4,RawData!$A$3:$I$22,8,FALSE),0),0)</f>
        <v>0</v>
      </c>
      <c r="BN3" s="431">
        <f ca="1">IF(BN6="Score",IFERROR(VLOOKUP($G$1&amp;BN5&amp;BN4,RawData!$A$3:$I$22,8,FALSE),0),0)</f>
        <v>0.2</v>
      </c>
      <c r="BO3" s="431">
        <f>IF(BO6="Score",IFERROR(VLOOKUP($G$1&amp;BO5&amp;BO4,RawData!$A$3:$I$22,8,FALSE),0),0)</f>
        <v>0</v>
      </c>
      <c r="BP3" s="431">
        <f ca="1">IF(BP6="Score",IFERROR(VLOOKUP($G$1&amp;BP5&amp;BP4,RawData!$A$3:$I$22,8,FALSE),0),0)</f>
        <v>0.2</v>
      </c>
      <c r="BQ3" s="431">
        <f>IF(BQ6="Score",IFERROR(VLOOKUP($G$1&amp;BQ5&amp;BQ4,RawData!$A$3:$I$22,8,FALSE),0),0)</f>
        <v>0</v>
      </c>
      <c r="BR3" s="431">
        <f>IF(BR6="Score",IFERROR(VLOOKUP($G$1&amp;BR5&amp;BR4,RawData!$A$3:$I$22,8,FALSE),0),0)</f>
        <v>0</v>
      </c>
      <c r="BS3" s="431">
        <f>IF(BS6="Score",IFERROR(VLOOKUP($G$1&amp;BS5&amp;BS4,RawData!$A$3:$I$22,8,FALSE),0),0)</f>
        <v>0</v>
      </c>
      <c r="BT3" s="431">
        <f ca="1">IF(BT6="Score",IFERROR(VLOOKUP($G$1&amp;BT5&amp;BT4,RawData!$A$3:$I$22,8,FALSE),0),0)</f>
        <v>0</v>
      </c>
      <c r="BU3" s="431">
        <f>IF(BU6="Score",IFERROR(VLOOKUP($G$1&amp;BU5&amp;BU4,RawData!$A$3:$I$22,8,FALSE),0),0)</f>
        <v>0</v>
      </c>
      <c r="BV3" s="431">
        <f>IF(BV6="Score",IFERROR(VLOOKUP($G$1&amp;BV5&amp;BV4,RawData!$A$3:$I$22,8,FALSE),0),0)</f>
        <v>0</v>
      </c>
      <c r="BW3" s="431">
        <f ca="1">IF(BW6="Score",IFERROR(VLOOKUP($G$1&amp;BW5&amp;BW4,RawData!$A$3:$I$22,8,FALSE),0),0)</f>
        <v>0</v>
      </c>
      <c r="BX3" s="431">
        <f>IF(BX6="Score",IFERROR(VLOOKUP($G$1&amp;BX5&amp;BX4,RawData!$A$3:$I$22,8,FALSE),0),0)</f>
        <v>0</v>
      </c>
      <c r="BY3" s="431">
        <f>IF(BY6="Score",IFERROR(VLOOKUP($G$1&amp;BY5&amp;BY4,RawData!$A$3:$I$22,8,FALSE),0),0)</f>
        <v>0</v>
      </c>
      <c r="BZ3" s="431">
        <f ca="1">IF(BZ6="Score",IFERROR(VLOOKUP($G$1&amp;BZ5&amp;BZ4,RawData!$A$3:$I$22,8,FALSE),0),0)</f>
        <v>0</v>
      </c>
      <c r="CA3" s="431">
        <f>IF(CA6="Score",IFERROR(VLOOKUP($G$1&amp;CA5&amp;CA4,RawData!$A$3:$I$22,8,FALSE),0),0)</f>
        <v>0</v>
      </c>
      <c r="CB3" s="431">
        <f>IF(CB6="Score",IFERROR(VLOOKUP($G$1&amp;CB5&amp;CB4,RawData!$A$3:$I$22,8,FALSE),0),0)</f>
        <v>0</v>
      </c>
      <c r="CC3" s="431">
        <f ca="1">IF(CC6="Score",IFERROR(VLOOKUP($G$1&amp;CC5&amp;CC4,RawData!$A$3:$I$22,8,FALSE),0),0)</f>
        <v>0</v>
      </c>
      <c r="CD3" s="431">
        <f>IF(CD6="Score",IFERROR(VLOOKUP($G$1&amp;CD5&amp;CD4,RawData!$A$3:$I$22,8,FALSE),0),0)</f>
        <v>0</v>
      </c>
      <c r="CE3" s="431">
        <f>IF(CE6="Score",IFERROR(VLOOKUP($G$1&amp;CE5&amp;CE4,RawData!$A$3:$I$22,8,FALSE),0),0)</f>
        <v>0</v>
      </c>
      <c r="CF3" s="431">
        <f ca="1">IF(CF6="Score",IFERROR(VLOOKUP($G$1&amp;CF5&amp;CF4,RawData!$A$3:$I$22,8,FALSE),0),0)</f>
        <v>0</v>
      </c>
      <c r="CG3" s="431">
        <f>IF(CG6="Score",IFERROR(VLOOKUP($G$1&amp;CG5&amp;CG4,RawData!$A$3:$I$22,8,FALSE),0),0)</f>
        <v>0</v>
      </c>
      <c r="CH3" s="431">
        <f>IF(CH6="Score",IFERROR(VLOOKUP($G$1&amp;CH5&amp;CH4,RawData!$A$3:$I$22,8,FALSE),0),0)</f>
        <v>0</v>
      </c>
      <c r="CI3" s="431">
        <f ca="1">IF(CI6="Score",IFERROR(VLOOKUP($G$1&amp;CI5&amp;CI4,RawData!$A$3:$I$22,8,FALSE),0),0)</f>
        <v>0</v>
      </c>
      <c r="CJ3" s="431">
        <f ca="1">IF(CJ6="Score",IFERROR(VLOOKUP($G$1&amp;CJ5&amp;CJ4,RawData!$A$3:$I$22,8,FALSE),0),0)</f>
        <v>0.2</v>
      </c>
      <c r="CK3" s="431">
        <f>IF(CK6="Score",IFERROR(VLOOKUP($G$1&amp;CK5&amp;CK4,RawData!$A$3:$I$22,8,FALSE),0),0)</f>
        <v>0</v>
      </c>
      <c r="CL3" s="431">
        <f ca="1">IF(CL6="Score",IFERROR(VLOOKUP($G$1&amp;CL5&amp;CL4,RawData!$A$3:$I$22,8,FALSE),0),0)</f>
        <v>0.2</v>
      </c>
      <c r="CM3" s="431">
        <f>IF(CM6="Score",IFERROR(VLOOKUP($G$1&amp;CM5&amp;CM4,RawData!$A$3:$I$22,8,FALSE),0),0)</f>
        <v>0</v>
      </c>
      <c r="CN3" s="431">
        <f>IF(CN6="Score",IFERROR(VLOOKUP($G$1&amp;CN5&amp;CN4,RawData!$A$3:$I$22,8,FALSE),0),0)</f>
        <v>0</v>
      </c>
      <c r="CO3" s="431">
        <f>IF(CO6="Score",IFERROR(VLOOKUP($G$1&amp;CO5&amp;CO4,RawData!$A$3:$I$22,8,FALSE),0),0)</f>
        <v>0</v>
      </c>
      <c r="CP3" s="431">
        <f ca="1">IF(CP6="Score",IFERROR(VLOOKUP($G$1&amp;CP5&amp;CP4,RawData!$A$3:$I$22,8,FALSE),0),0)</f>
        <v>0</v>
      </c>
      <c r="CQ3" s="431">
        <f>IF(CQ6="Score",IFERROR(VLOOKUP($G$1&amp;CQ5&amp;CQ4,RawData!$A$3:$I$22,8,FALSE),0),0)</f>
        <v>0</v>
      </c>
      <c r="CR3" s="431">
        <f>IF(CR6="Score",IFERROR(VLOOKUP($G$1&amp;CR5&amp;CR4,RawData!$A$3:$I$22,8,FALSE),0),0)</f>
        <v>0</v>
      </c>
      <c r="CS3" s="431">
        <f ca="1">IF(CS6="Score",IFERROR(VLOOKUP($G$1&amp;CS5&amp;CS4,RawData!$A$3:$I$22,8,FALSE),0),0)</f>
        <v>0</v>
      </c>
      <c r="CT3" s="431">
        <f>IF(CT6="Score",IFERROR(VLOOKUP($G$1&amp;CT5&amp;CT4,RawData!$A$3:$I$22,8,FALSE),0),0)</f>
        <v>0</v>
      </c>
      <c r="CU3" s="431">
        <f>IF(CU6="Score",IFERROR(VLOOKUP($G$1&amp;CU5&amp;CU4,RawData!$A$3:$I$22,8,FALSE),0),0)</f>
        <v>0</v>
      </c>
      <c r="CV3" s="431">
        <f ca="1">IF(CV6="Score",IFERROR(VLOOKUP($G$1&amp;CV5&amp;CV4,RawData!$A$3:$I$22,8,FALSE),0),0)</f>
        <v>0</v>
      </c>
      <c r="CW3" s="431">
        <f>IF(CW6="Score",IFERROR(VLOOKUP($G$1&amp;CW5&amp;CW4,RawData!$A$3:$I$22,8,FALSE),0),0)</f>
        <v>0</v>
      </c>
      <c r="CX3" s="431">
        <f>IF(CX6="Score",IFERROR(VLOOKUP($G$1&amp;CX5&amp;CX4,RawData!$A$3:$I$22,8,FALSE),0),0)</f>
        <v>0</v>
      </c>
      <c r="CY3" s="431">
        <f ca="1">IF(CY6="Score",IFERROR(VLOOKUP($G$1&amp;CY5&amp;CY4,RawData!$A$3:$I$22,8,FALSE),0),0)</f>
        <v>0</v>
      </c>
      <c r="CZ3" s="431">
        <f>IF(CZ6="Score",IFERROR(VLOOKUP($G$1&amp;CZ5&amp;CZ4,RawData!$A$3:$I$22,8,FALSE),0),0)</f>
        <v>0</v>
      </c>
      <c r="DA3" s="431">
        <f>IF(DA6="Score",IFERROR(VLOOKUP($G$1&amp;DA5&amp;DA4,RawData!$A$3:$I$22,8,FALSE),0),0)</f>
        <v>0</v>
      </c>
      <c r="DB3" s="431">
        <f ca="1">IF(DB6="Score",IFERROR(VLOOKUP($G$1&amp;DB5&amp;DB4,RawData!$A$3:$I$22,8,FALSE),0),0)</f>
        <v>0</v>
      </c>
      <c r="DC3" s="431">
        <f>IF(DC6="Score",IFERROR(VLOOKUP($G$1&amp;DC5&amp;DC4,RawData!$A$3:$I$22,8,FALSE),0),0)</f>
        <v>0</v>
      </c>
      <c r="DD3" s="431">
        <f>IF(DD6="Score",IFERROR(VLOOKUP($G$1&amp;DD5&amp;DD4,RawData!$A$3:$I$22,8,FALSE),0),0)</f>
        <v>0</v>
      </c>
      <c r="DE3" s="431">
        <f ca="1">IF(DE6="Score",IFERROR(VLOOKUP($G$1&amp;DE5&amp;DE4,RawData!$A$3:$I$22,8,FALSE),0),0)</f>
        <v>0</v>
      </c>
      <c r="DF3" s="431">
        <f ca="1">IF(DF6="Score",IFERROR(VLOOKUP($G$1&amp;DF5&amp;DF4,RawData!$A$3:$I$22,8,FALSE),0),0)</f>
        <v>0.2</v>
      </c>
      <c r="DG3" s="431">
        <f>IF(DG6="Score",IFERROR(VLOOKUP($G$1&amp;DG5&amp;DG4,RawData!$A$3:$I$22,8,FALSE),0),0)</f>
        <v>0</v>
      </c>
      <c r="DH3" s="431">
        <f ca="1">IF(DH6="Score",IFERROR(VLOOKUP($G$1&amp;DH5&amp;DH4,RawData!$A$3:$I$22,8,FALSE),0),0)</f>
        <v>0.2</v>
      </c>
      <c r="DI3" s="431">
        <f>IF(DI6="Score",IFERROR(VLOOKUP($G$1&amp;DI5&amp;DI4,RawData!$A$3:$I$22,8,FALSE),0),0)</f>
        <v>0</v>
      </c>
      <c r="DJ3" s="431">
        <f ca="1">IF(DJ6="Score",IFERROR(VLOOKUP($G$1&amp;DJ5&amp;DJ4,RawData!$A$3:$I$22,8,FALSE),0),0)</f>
        <v>0</v>
      </c>
      <c r="DK3" s="431">
        <f>IF(DK6="Score",IFERROR(VLOOKUP($G$1&amp;DK5&amp;DK4,RawData!$A$3:$I$22,8,FALSE),0),0)</f>
        <v>0</v>
      </c>
      <c r="DL3" s="431">
        <f ca="1">IF(DL6="Score",IFERROR(VLOOKUP($G$1&amp;DL5&amp;DL4,RawData!$A$3:$I$22,8,FALSE),0),0)</f>
        <v>0</v>
      </c>
      <c r="DM3" s="431">
        <f ca="1">IF(DM6="Score",IFERROR(VLOOKUP($G$1&amp;DM5&amp;DM4,RawData!$A$3:$I$22,8,FALSE),0),0)</f>
        <v>0</v>
      </c>
      <c r="DN3" s="431">
        <f ca="1">IF(DN6="Score",IFERROR(VLOOKUP($G$1&amp;DN5&amp;DN4,RawData!$A$3:$I$22,8,FALSE),0),0)</f>
        <v>0</v>
      </c>
    </row>
    <row r="4" spans="1:121" s="34" customFormat="1">
      <c r="A4" s="39" t="s">
        <v>20</v>
      </c>
      <c r="B4" s="22"/>
      <c r="D4" s="34" t="str">
        <f t="shared" ref="D4:BW4" si="0">IF(D10="",C4,D10)</f>
        <v>Reserves</v>
      </c>
      <c r="E4" s="34" t="str">
        <f t="shared" si="0"/>
        <v>Reserves</v>
      </c>
      <c r="F4" s="34" t="str">
        <f t="shared" si="0"/>
        <v>Reserves</v>
      </c>
      <c r="G4" s="34" t="str">
        <f t="shared" si="0"/>
        <v>Reserves</v>
      </c>
      <c r="H4" s="34" t="str">
        <f t="shared" si="0"/>
        <v>Reserves</v>
      </c>
      <c r="I4" s="34" t="str">
        <f t="shared" si="0"/>
        <v>Reserves</v>
      </c>
      <c r="J4" s="34" t="str">
        <f t="shared" si="0"/>
        <v>Mined Supply</v>
      </c>
      <c r="K4" s="34" t="str">
        <f t="shared" si="0"/>
        <v>Mined Supply</v>
      </c>
      <c r="L4" s="34" t="str">
        <f t="shared" si="0"/>
        <v>Mined Supply</v>
      </c>
      <c r="M4" s="34" t="str">
        <f t="shared" si="0"/>
        <v>Mined Supply</v>
      </c>
      <c r="N4" s="34" t="str">
        <f t="shared" si="0"/>
        <v>Mined Supply</v>
      </c>
      <c r="O4" s="34" t="str">
        <f t="shared" si="0"/>
        <v>Mined Supply</v>
      </c>
      <c r="P4" s="34" t="str">
        <f t="shared" si="0"/>
        <v>Refined Supply</v>
      </c>
      <c r="Q4" s="34" t="str">
        <f t="shared" si="0"/>
        <v>Refined Supply</v>
      </c>
      <c r="R4" s="34" t="str">
        <f t="shared" si="0"/>
        <v>Refined Supply</v>
      </c>
      <c r="S4" s="34" t="str">
        <f t="shared" si="0"/>
        <v>Refined Supply</v>
      </c>
      <c r="T4" s="34" t="str">
        <f t="shared" si="0"/>
        <v>Refined Supply</v>
      </c>
      <c r="U4" s="34" t="str">
        <f t="shared" si="0"/>
        <v>Refined Supply</v>
      </c>
      <c r="V4" s="34" t="str">
        <f t="shared" si="0"/>
        <v>Sub-Catergory Total</v>
      </c>
      <c r="W4" s="34" t="str">
        <f t="shared" si="0"/>
        <v>Sub-Catergory Total</v>
      </c>
      <c r="X4" s="34" t="str">
        <f t="shared" si="0"/>
        <v>Sub-Catergory Total</v>
      </c>
      <c r="Y4" s="34" t="str">
        <f t="shared" si="0"/>
        <v>Sub-Catergory Total</v>
      </c>
      <c r="Z4" s="34" t="str">
        <f t="shared" si="0"/>
        <v>Reserves</v>
      </c>
      <c r="AA4" s="34" t="str">
        <f t="shared" si="0"/>
        <v>Reserves</v>
      </c>
      <c r="AB4" s="34" t="str">
        <f t="shared" si="0"/>
        <v>Reserves</v>
      </c>
      <c r="AC4" s="34" t="str">
        <f t="shared" si="0"/>
        <v>Reserves</v>
      </c>
      <c r="AD4" s="34" t="str">
        <f t="shared" si="0"/>
        <v>Reserves</v>
      </c>
      <c r="AE4" s="34" t="str">
        <f t="shared" si="0"/>
        <v>Reserves</v>
      </c>
      <c r="AF4" s="34" t="str">
        <f t="shared" si="0"/>
        <v>Mined Supply</v>
      </c>
      <c r="AG4" s="34" t="str">
        <f t="shared" si="0"/>
        <v>Mined Supply</v>
      </c>
      <c r="AH4" s="34" t="str">
        <f t="shared" si="0"/>
        <v>Mined Supply</v>
      </c>
      <c r="AI4" s="34" t="str">
        <f t="shared" si="0"/>
        <v>Mined Supply</v>
      </c>
      <c r="AJ4" s="34" t="str">
        <f t="shared" si="0"/>
        <v>Mined Supply</v>
      </c>
      <c r="AK4" s="34" t="str">
        <f t="shared" si="0"/>
        <v>Mined Supply</v>
      </c>
      <c r="AL4" s="34" t="str">
        <f t="shared" si="0"/>
        <v>Refined Supply</v>
      </c>
      <c r="AM4" s="34" t="str">
        <f t="shared" si="0"/>
        <v>Refined Supply</v>
      </c>
      <c r="AN4" s="34" t="str">
        <f t="shared" si="0"/>
        <v>Refined Supply</v>
      </c>
      <c r="AO4" s="34" t="str">
        <f t="shared" si="0"/>
        <v>Refined Supply</v>
      </c>
      <c r="AP4" s="34" t="str">
        <f t="shared" si="0"/>
        <v>Refined Supply</v>
      </c>
      <c r="AQ4" s="34" t="str">
        <f t="shared" si="0"/>
        <v>Refined Supply</v>
      </c>
      <c r="AR4" s="34" t="str">
        <f t="shared" si="0"/>
        <v>Sub-Catergory Total</v>
      </c>
      <c r="AS4" s="34" t="str">
        <f t="shared" si="0"/>
        <v>Sub-Catergory Total</v>
      </c>
      <c r="AT4" s="34" t="str">
        <f t="shared" si="0"/>
        <v>Sub-Catergory Total</v>
      </c>
      <c r="AU4" s="34" t="str">
        <f t="shared" si="0"/>
        <v>Sub-Catergory Total</v>
      </c>
      <c r="AV4" s="34" t="str">
        <f t="shared" si="0"/>
        <v>Reserves</v>
      </c>
      <c r="AW4" s="34" t="str">
        <f t="shared" si="0"/>
        <v>Reserves</v>
      </c>
      <c r="AX4" s="34" t="str">
        <f t="shared" si="0"/>
        <v>Reserves</v>
      </c>
      <c r="AY4" s="34" t="str">
        <f t="shared" si="0"/>
        <v>Reserves</v>
      </c>
      <c r="AZ4" s="34" t="str">
        <f t="shared" si="0"/>
        <v>Reserves</v>
      </c>
      <c r="BA4" s="34" t="str">
        <f t="shared" si="0"/>
        <v>Reserves</v>
      </c>
      <c r="BB4" s="34" t="str">
        <f t="shared" si="0"/>
        <v>Mined Supply</v>
      </c>
      <c r="BC4" s="34" t="str">
        <f t="shared" si="0"/>
        <v>Mined Supply</v>
      </c>
      <c r="BD4" s="34" t="str">
        <f t="shared" si="0"/>
        <v>Mined Supply</v>
      </c>
      <c r="BE4" s="34" t="str">
        <f t="shared" si="0"/>
        <v>Mined Supply</v>
      </c>
      <c r="BF4" s="34" t="str">
        <f t="shared" si="0"/>
        <v>Mined Supply</v>
      </c>
      <c r="BG4" s="34" t="str">
        <f t="shared" si="0"/>
        <v>Mined Supply</v>
      </c>
      <c r="BH4" s="34" t="str">
        <f t="shared" si="0"/>
        <v>Refined Supply</v>
      </c>
      <c r="BI4" s="34" t="str">
        <f t="shared" si="0"/>
        <v>Refined Supply</v>
      </c>
      <c r="BJ4" s="34" t="str">
        <f t="shared" si="0"/>
        <v>Refined Supply</v>
      </c>
      <c r="BK4" s="34" t="str">
        <f t="shared" si="0"/>
        <v>Refined Supply</v>
      </c>
      <c r="BL4" s="34" t="str">
        <f t="shared" si="0"/>
        <v>Refined Supply</v>
      </c>
      <c r="BM4" s="34" t="str">
        <f t="shared" si="0"/>
        <v>Refined Supply</v>
      </c>
      <c r="BN4" s="34" t="str">
        <f t="shared" si="0"/>
        <v>Sub-Catergory Total</v>
      </c>
      <c r="BO4" s="34" t="str">
        <f t="shared" si="0"/>
        <v>Sub-Catergory Total</v>
      </c>
      <c r="BP4" s="34" t="str">
        <f t="shared" si="0"/>
        <v>Sub-Catergory Total</v>
      </c>
      <c r="BQ4" s="34" t="str">
        <f t="shared" si="0"/>
        <v>Sub-Catergory Total</v>
      </c>
      <c r="BR4" s="34" t="str">
        <f t="shared" si="0"/>
        <v>Reserves</v>
      </c>
      <c r="BS4" s="34" t="str">
        <f t="shared" si="0"/>
        <v>Reserves</v>
      </c>
      <c r="BT4" s="34" t="str">
        <f t="shared" si="0"/>
        <v>Reserves</v>
      </c>
      <c r="BU4" s="34" t="str">
        <f t="shared" si="0"/>
        <v>Reserves</v>
      </c>
      <c r="BV4" s="34" t="str">
        <f t="shared" si="0"/>
        <v>Reserves</v>
      </c>
      <c r="BW4" s="34" t="str">
        <f t="shared" si="0"/>
        <v>Reserves</v>
      </c>
      <c r="BX4" s="34" t="str">
        <f t="shared" ref="BX4:DN4" si="1">IF(BX10="",BW4,BX10)</f>
        <v>Mined Supply</v>
      </c>
      <c r="BY4" s="34" t="str">
        <f t="shared" si="1"/>
        <v>Mined Supply</v>
      </c>
      <c r="BZ4" s="34" t="str">
        <f t="shared" si="1"/>
        <v>Mined Supply</v>
      </c>
      <c r="CA4" s="34" t="str">
        <f t="shared" si="1"/>
        <v>Mined Supply</v>
      </c>
      <c r="CB4" s="34" t="str">
        <f t="shared" si="1"/>
        <v>Mined Supply</v>
      </c>
      <c r="CC4" s="34" t="str">
        <f t="shared" si="1"/>
        <v>Mined Supply</v>
      </c>
      <c r="CD4" s="34" t="str">
        <f t="shared" si="1"/>
        <v>Refined Supply</v>
      </c>
      <c r="CE4" s="34" t="str">
        <f t="shared" si="1"/>
        <v>Refined Supply</v>
      </c>
      <c r="CF4" s="34" t="str">
        <f t="shared" si="1"/>
        <v>Refined Supply</v>
      </c>
      <c r="CG4" s="34" t="str">
        <f t="shared" si="1"/>
        <v>Refined Supply</v>
      </c>
      <c r="CH4" s="34" t="str">
        <f t="shared" si="1"/>
        <v>Refined Supply</v>
      </c>
      <c r="CI4" s="34" t="str">
        <f t="shared" si="1"/>
        <v>Refined Supply</v>
      </c>
      <c r="CJ4" s="34" t="str">
        <f t="shared" si="1"/>
        <v>Sub-Catergory Total</v>
      </c>
      <c r="CK4" s="34" t="str">
        <f t="shared" si="1"/>
        <v>Sub-Catergory Total</v>
      </c>
      <c r="CL4" s="34" t="str">
        <f t="shared" si="1"/>
        <v>Sub-Catergory Total</v>
      </c>
      <c r="CM4" s="34" t="str">
        <f t="shared" si="1"/>
        <v>Sub-Catergory Total</v>
      </c>
      <c r="CN4" s="34" t="str">
        <f t="shared" si="1"/>
        <v>Reserves</v>
      </c>
      <c r="CO4" s="34" t="str">
        <f t="shared" si="1"/>
        <v>Reserves</v>
      </c>
      <c r="CP4" s="34" t="str">
        <f t="shared" si="1"/>
        <v>Reserves</v>
      </c>
      <c r="CQ4" s="34" t="str">
        <f t="shared" si="1"/>
        <v>Reserves</v>
      </c>
      <c r="CR4" s="34" t="str">
        <f t="shared" si="1"/>
        <v>Reserves</v>
      </c>
      <c r="CS4" s="34" t="str">
        <f t="shared" si="1"/>
        <v>Reserves</v>
      </c>
      <c r="CT4" s="34" t="str">
        <f t="shared" si="1"/>
        <v>Mined Supply</v>
      </c>
      <c r="CU4" s="34" t="str">
        <f t="shared" si="1"/>
        <v>Mined Supply</v>
      </c>
      <c r="CV4" s="34" t="str">
        <f t="shared" si="1"/>
        <v>Mined Supply</v>
      </c>
      <c r="CW4" s="34" t="str">
        <f t="shared" si="1"/>
        <v>Mined Supply</v>
      </c>
      <c r="CX4" s="34" t="str">
        <f t="shared" si="1"/>
        <v>Mined Supply</v>
      </c>
      <c r="CY4" s="34" t="str">
        <f t="shared" si="1"/>
        <v>Mined Supply</v>
      </c>
      <c r="CZ4" s="34" t="str">
        <f t="shared" si="1"/>
        <v>Refined Supply</v>
      </c>
      <c r="DA4" s="34" t="str">
        <f t="shared" si="1"/>
        <v>Refined Supply</v>
      </c>
      <c r="DB4" s="34" t="str">
        <f t="shared" si="1"/>
        <v>Refined Supply</v>
      </c>
      <c r="DC4" s="34" t="str">
        <f t="shared" si="1"/>
        <v>Refined Supply</v>
      </c>
      <c r="DD4" s="34" t="str">
        <f t="shared" si="1"/>
        <v>Refined Supply</v>
      </c>
      <c r="DE4" s="34" t="str">
        <f t="shared" si="1"/>
        <v>Refined Supply</v>
      </c>
      <c r="DF4" s="34" t="str">
        <f t="shared" si="1"/>
        <v>Sub-Catergory Total</v>
      </c>
      <c r="DG4" s="34" t="str">
        <f t="shared" si="1"/>
        <v>Sub-Catergory Total</v>
      </c>
      <c r="DH4" s="34" t="str">
        <f t="shared" si="1"/>
        <v>Sub-Catergory Total</v>
      </c>
      <c r="DI4" s="34" t="str">
        <f t="shared" si="1"/>
        <v>Sub-Catergory Total</v>
      </c>
      <c r="DJ4" s="34" t="str">
        <f t="shared" si="1"/>
        <v>Sub-Catergory Total</v>
      </c>
      <c r="DK4" s="34" t="str">
        <f t="shared" si="1"/>
        <v>Sub-Catergory Total</v>
      </c>
      <c r="DL4" s="34" t="str">
        <f t="shared" si="1"/>
        <v>Sub-Catergory Total</v>
      </c>
      <c r="DM4" s="34" t="str">
        <f t="shared" si="1"/>
        <v>Sub-Catergory Total</v>
      </c>
      <c r="DN4" s="34" t="str">
        <f t="shared" si="1"/>
        <v>Sub-Catergory Total</v>
      </c>
    </row>
    <row r="5" spans="1:121" s="34" customFormat="1">
      <c r="A5" s="39" t="s">
        <v>21</v>
      </c>
      <c r="B5" s="22"/>
      <c r="D5" s="34" t="str">
        <f t="shared" ref="D5:CA5" si="2">IF(D9="",C5,D9)</f>
        <v>Cobalt (Sulfate)</v>
      </c>
      <c r="E5" s="34" t="str">
        <f t="shared" si="2"/>
        <v>Cobalt (Sulfate)</v>
      </c>
      <c r="F5" s="34" t="str">
        <f t="shared" si="2"/>
        <v>Cobalt (Sulfate)</v>
      </c>
      <c r="G5" s="34" t="str">
        <f t="shared" si="2"/>
        <v>Cobalt (Sulfate)</v>
      </c>
      <c r="H5" s="34" t="str">
        <f t="shared" si="2"/>
        <v>Cobalt (Sulfate)</v>
      </c>
      <c r="I5" s="34" t="str">
        <f t="shared" si="2"/>
        <v>Cobalt (Sulfate)</v>
      </c>
      <c r="J5" s="34" t="str">
        <f t="shared" si="2"/>
        <v>Cobalt (Sulfate)</v>
      </c>
      <c r="K5" s="34" t="str">
        <f t="shared" si="2"/>
        <v>Cobalt (Sulfate)</v>
      </c>
      <c r="L5" s="34" t="str">
        <f t="shared" si="2"/>
        <v>Cobalt (Sulfate)</v>
      </c>
      <c r="M5" s="34" t="str">
        <f t="shared" si="2"/>
        <v>Cobalt (Sulfate)</v>
      </c>
      <c r="N5" s="34" t="str">
        <f t="shared" si="2"/>
        <v>Cobalt (Sulfate)</v>
      </c>
      <c r="O5" s="34" t="str">
        <f t="shared" si="2"/>
        <v>Cobalt (Sulfate)</v>
      </c>
      <c r="P5" s="34" t="str">
        <f t="shared" si="2"/>
        <v>Cobalt (Sulfate)</v>
      </c>
      <c r="Q5" s="34" t="str">
        <f t="shared" si="2"/>
        <v>Cobalt (Sulfate)</v>
      </c>
      <c r="R5" s="34" t="str">
        <f t="shared" si="2"/>
        <v>Cobalt (Sulfate)</v>
      </c>
      <c r="S5" s="34" t="str">
        <f t="shared" si="2"/>
        <v>Cobalt (Sulfate)</v>
      </c>
      <c r="T5" s="34" t="str">
        <f>IF(T9="",S5,T9)</f>
        <v>Cobalt (Sulfate)</v>
      </c>
      <c r="U5" s="34" t="str">
        <f t="shared" si="2"/>
        <v>Cobalt (Sulfate)</v>
      </c>
      <c r="V5" s="34" t="str">
        <f t="shared" si="2"/>
        <v>Cobalt (Sulfate)</v>
      </c>
      <c r="W5" s="34" t="str">
        <f t="shared" si="2"/>
        <v>Cobalt (Sulfate)</v>
      </c>
      <c r="X5" s="34" t="str">
        <f t="shared" si="2"/>
        <v>Cobalt (Sulfate)</v>
      </c>
      <c r="Y5" s="34" t="str">
        <f t="shared" si="2"/>
        <v>Cobalt (Sulfate)</v>
      </c>
      <c r="Z5" s="34" t="str">
        <f>IF(Z9="",U5,Z9)</f>
        <v>Natural (Flake) Graphite</v>
      </c>
      <c r="AA5" s="34" t="str">
        <f t="shared" si="2"/>
        <v>Natural (Flake) Graphite</v>
      </c>
      <c r="AB5" s="34" t="str">
        <f t="shared" si="2"/>
        <v>Natural (Flake) Graphite</v>
      </c>
      <c r="AC5" s="34" t="str">
        <f t="shared" si="2"/>
        <v>Natural (Flake) Graphite</v>
      </c>
      <c r="AD5" s="34" t="str">
        <f t="shared" si="2"/>
        <v>Natural (Flake) Graphite</v>
      </c>
      <c r="AE5" s="34" t="str">
        <f t="shared" si="2"/>
        <v>Natural (Flake) Graphite</v>
      </c>
      <c r="AF5" s="34" t="str">
        <f t="shared" si="2"/>
        <v>Natural (Flake) Graphite</v>
      </c>
      <c r="AG5" s="34" t="str">
        <f t="shared" si="2"/>
        <v>Natural (Flake) Graphite</v>
      </c>
      <c r="AH5" s="34" t="str">
        <f t="shared" si="2"/>
        <v>Natural (Flake) Graphite</v>
      </c>
      <c r="AI5" s="34" t="str">
        <f t="shared" si="2"/>
        <v>Natural (Flake) Graphite</v>
      </c>
      <c r="AJ5" s="34" t="str">
        <f t="shared" si="2"/>
        <v>Natural (Flake) Graphite</v>
      </c>
      <c r="AK5" s="34" t="str">
        <f t="shared" si="2"/>
        <v>Natural (Flake) Graphite</v>
      </c>
      <c r="AL5" s="34" t="str">
        <f t="shared" si="2"/>
        <v>Natural (Flake) Graphite</v>
      </c>
      <c r="AM5" s="34" t="str">
        <f t="shared" si="2"/>
        <v>Natural (Flake) Graphite</v>
      </c>
      <c r="AN5" s="34" t="str">
        <f t="shared" si="2"/>
        <v>Natural (Flake) Graphite</v>
      </c>
      <c r="AO5" s="34" t="str">
        <f t="shared" si="2"/>
        <v>Natural (Flake) Graphite</v>
      </c>
      <c r="AP5" s="34" t="str">
        <f t="shared" si="2"/>
        <v>Natural (Flake) Graphite</v>
      </c>
      <c r="AQ5" s="34" t="str">
        <f t="shared" si="2"/>
        <v>Natural (Flake) Graphite</v>
      </c>
      <c r="AR5" s="34" t="str">
        <f t="shared" si="2"/>
        <v>Natural (Flake) Graphite</v>
      </c>
      <c r="AS5" s="34" t="str">
        <f t="shared" si="2"/>
        <v>Natural (Flake) Graphite</v>
      </c>
      <c r="AT5" s="34" t="str">
        <f t="shared" si="2"/>
        <v>Natural (Flake) Graphite</v>
      </c>
      <c r="AU5" s="34" t="str">
        <f t="shared" si="2"/>
        <v>Natural (Flake) Graphite</v>
      </c>
      <c r="AV5" s="34" t="str">
        <f>IF(AV9="",AQ5,AV9)</f>
        <v>Lithium (Carbonate and Hydroxide)</v>
      </c>
      <c r="AW5" s="34" t="str">
        <f t="shared" si="2"/>
        <v>Lithium (Carbonate and Hydroxide)</v>
      </c>
      <c r="AX5" s="34" t="str">
        <f t="shared" si="2"/>
        <v>Lithium (Carbonate and Hydroxide)</v>
      </c>
      <c r="AY5" s="34" t="str">
        <f t="shared" si="2"/>
        <v>Lithium (Carbonate and Hydroxide)</v>
      </c>
      <c r="AZ5" s="34" t="str">
        <f t="shared" si="2"/>
        <v>Lithium (Carbonate and Hydroxide)</v>
      </c>
      <c r="BA5" s="34" t="str">
        <f t="shared" si="2"/>
        <v>Lithium (Carbonate and Hydroxide)</v>
      </c>
      <c r="BB5" s="34" t="str">
        <f t="shared" si="2"/>
        <v>Lithium (Carbonate and Hydroxide)</v>
      </c>
      <c r="BC5" s="34" t="str">
        <f t="shared" si="2"/>
        <v>Lithium (Carbonate and Hydroxide)</v>
      </c>
      <c r="BD5" s="34" t="str">
        <f t="shared" si="2"/>
        <v>Lithium (Carbonate and Hydroxide)</v>
      </c>
      <c r="BE5" s="34" t="str">
        <f t="shared" si="2"/>
        <v>Lithium (Carbonate and Hydroxide)</v>
      </c>
      <c r="BF5" s="34" t="str">
        <f t="shared" si="2"/>
        <v>Lithium (Carbonate and Hydroxide)</v>
      </c>
      <c r="BG5" s="34" t="str">
        <f t="shared" si="2"/>
        <v>Lithium (Carbonate and Hydroxide)</v>
      </c>
      <c r="BH5" s="34" t="str">
        <f t="shared" si="2"/>
        <v>Lithium (Carbonate and Hydroxide)</v>
      </c>
      <c r="BI5" s="34" t="str">
        <f t="shared" si="2"/>
        <v>Lithium (Carbonate and Hydroxide)</v>
      </c>
      <c r="BJ5" s="34" t="str">
        <f t="shared" si="2"/>
        <v>Lithium (Carbonate and Hydroxide)</v>
      </c>
      <c r="BK5" s="34" t="str">
        <f t="shared" si="2"/>
        <v>Lithium (Carbonate and Hydroxide)</v>
      </c>
      <c r="BL5" s="34" t="str">
        <f t="shared" si="2"/>
        <v>Lithium (Carbonate and Hydroxide)</v>
      </c>
      <c r="BM5" s="34" t="str">
        <f t="shared" si="2"/>
        <v>Lithium (Carbonate and Hydroxide)</v>
      </c>
      <c r="BN5" s="34" t="str">
        <f t="shared" si="2"/>
        <v>Lithium (Carbonate and Hydroxide)</v>
      </c>
      <c r="BO5" s="34" t="str">
        <f t="shared" si="2"/>
        <v>Lithium (Carbonate and Hydroxide)</v>
      </c>
      <c r="BP5" s="34" t="str">
        <f t="shared" si="2"/>
        <v>Lithium (Carbonate and Hydroxide)</v>
      </c>
      <c r="BQ5" s="34" t="str">
        <f t="shared" si="2"/>
        <v>Lithium (Carbonate and Hydroxide)</v>
      </c>
      <c r="BR5" s="34" t="str">
        <f>IF(BR9="",BM5,BR9)</f>
        <v>Manganese (Sulfate)</v>
      </c>
      <c r="BS5" s="34" t="str">
        <f t="shared" si="2"/>
        <v>Manganese (Sulfate)</v>
      </c>
      <c r="BT5" s="34" t="str">
        <f t="shared" si="2"/>
        <v>Manganese (Sulfate)</v>
      </c>
      <c r="BU5" s="34" t="str">
        <f t="shared" si="2"/>
        <v>Manganese (Sulfate)</v>
      </c>
      <c r="BV5" s="34" t="str">
        <f t="shared" si="2"/>
        <v>Manganese (Sulfate)</v>
      </c>
      <c r="BW5" s="34" t="str">
        <f t="shared" si="2"/>
        <v>Manganese (Sulfate)</v>
      </c>
      <c r="BX5" s="34" t="str">
        <f>IF(BX9="",BW5,BX9)</f>
        <v>Manganese (Sulfate)</v>
      </c>
      <c r="BY5" s="34" t="str">
        <f t="shared" si="2"/>
        <v>Manganese (Sulfate)</v>
      </c>
      <c r="BZ5" s="34" t="str">
        <f t="shared" si="2"/>
        <v>Manganese (Sulfate)</v>
      </c>
      <c r="CA5" s="34" t="str">
        <f t="shared" si="2"/>
        <v>Manganese (Sulfate)</v>
      </c>
      <c r="CB5" s="34" t="str">
        <f t="shared" ref="CB5:DM5" si="3">IF(CB9="",CA5,CB9)</f>
        <v>Manganese (Sulfate)</v>
      </c>
      <c r="CC5" s="34" t="str">
        <f t="shared" si="3"/>
        <v>Manganese (Sulfate)</v>
      </c>
      <c r="CD5" s="34" t="str">
        <f t="shared" si="3"/>
        <v>Manganese (Sulfate)</v>
      </c>
      <c r="CE5" s="34" t="str">
        <f t="shared" si="3"/>
        <v>Manganese (Sulfate)</v>
      </c>
      <c r="CF5" s="34" t="str">
        <f t="shared" si="3"/>
        <v>Manganese (Sulfate)</v>
      </c>
      <c r="CG5" s="34" t="str">
        <f t="shared" si="3"/>
        <v>Manganese (Sulfate)</v>
      </c>
      <c r="CH5" s="34" t="str">
        <f t="shared" si="3"/>
        <v>Manganese (Sulfate)</v>
      </c>
      <c r="CI5" s="34" t="str">
        <f t="shared" si="3"/>
        <v>Manganese (Sulfate)</v>
      </c>
      <c r="CJ5" s="34" t="str">
        <f t="shared" si="3"/>
        <v>Manganese (Sulfate)</v>
      </c>
      <c r="CK5" s="34" t="str">
        <f t="shared" si="3"/>
        <v>Manganese (Sulfate)</v>
      </c>
      <c r="CL5" s="34" t="str">
        <f t="shared" si="3"/>
        <v>Manganese (Sulfate)</v>
      </c>
      <c r="CM5" s="34" t="str">
        <f t="shared" si="3"/>
        <v>Manganese (Sulfate)</v>
      </c>
      <c r="CN5" s="34" t="str">
        <f>IF(CN9="",CI5,CN9)</f>
        <v>Nickel (Sulfate)</v>
      </c>
      <c r="CO5" s="34" t="str">
        <f t="shared" si="3"/>
        <v>Nickel (Sulfate)</v>
      </c>
      <c r="CP5" s="34" t="str">
        <f t="shared" si="3"/>
        <v>Nickel (Sulfate)</v>
      </c>
      <c r="CQ5" s="34" t="str">
        <f t="shared" si="3"/>
        <v>Nickel (Sulfate)</v>
      </c>
      <c r="CR5" s="34" t="str">
        <f t="shared" si="3"/>
        <v>Nickel (Sulfate)</v>
      </c>
      <c r="CS5" s="34" t="str">
        <f t="shared" si="3"/>
        <v>Nickel (Sulfate)</v>
      </c>
      <c r="CT5" s="34" t="str">
        <f t="shared" si="3"/>
        <v>Nickel (Sulfate)</v>
      </c>
      <c r="CU5" s="34" t="str">
        <f t="shared" si="3"/>
        <v>Nickel (Sulfate)</v>
      </c>
      <c r="CV5" s="34" t="str">
        <f t="shared" si="3"/>
        <v>Nickel (Sulfate)</v>
      </c>
      <c r="CW5" s="34" t="str">
        <f t="shared" si="3"/>
        <v>Nickel (Sulfate)</v>
      </c>
      <c r="CX5" s="34" t="str">
        <f t="shared" si="3"/>
        <v>Nickel (Sulfate)</v>
      </c>
      <c r="CY5" s="34" t="str">
        <f t="shared" si="3"/>
        <v>Nickel (Sulfate)</v>
      </c>
      <c r="CZ5" s="34" t="str">
        <f t="shared" si="3"/>
        <v>Nickel (Sulfate)</v>
      </c>
      <c r="DA5" s="34" t="str">
        <f t="shared" si="3"/>
        <v>Nickel (Sulfate)</v>
      </c>
      <c r="DB5" s="34" t="str">
        <f t="shared" si="3"/>
        <v>Nickel (Sulfate)</v>
      </c>
      <c r="DC5" s="34" t="str">
        <f t="shared" si="3"/>
        <v>Nickel (Sulfate)</v>
      </c>
      <c r="DD5" s="34" t="str">
        <f t="shared" si="3"/>
        <v>Nickel (Sulfate)</v>
      </c>
      <c r="DE5" s="34" t="str">
        <f t="shared" si="3"/>
        <v>Nickel (Sulfate)</v>
      </c>
      <c r="DF5" s="34" t="str">
        <f t="shared" si="3"/>
        <v>Nickel (Sulfate)</v>
      </c>
      <c r="DG5" s="34" t="str">
        <f t="shared" si="3"/>
        <v>Nickel (Sulfate)</v>
      </c>
      <c r="DH5" s="34" t="str">
        <f t="shared" si="3"/>
        <v>Nickel (Sulfate)</v>
      </c>
      <c r="DI5" s="34" t="str">
        <f t="shared" si="3"/>
        <v>Nickel (Sulfate)</v>
      </c>
      <c r="DJ5" s="34" t="str">
        <f>IF(DJ9="",DE5,DJ9)</f>
        <v>Overall</v>
      </c>
      <c r="DK5" s="34" t="str">
        <f t="shared" si="3"/>
        <v>Overall</v>
      </c>
      <c r="DL5" s="34" t="str">
        <f t="shared" si="3"/>
        <v>Overall</v>
      </c>
      <c r="DM5" s="34" t="str">
        <f t="shared" si="3"/>
        <v>Overall</v>
      </c>
      <c r="DN5" s="34" t="str">
        <f>IF(DN9="",DM5,DN9)</f>
        <v>Overall</v>
      </c>
    </row>
    <row r="6" spans="1:121" s="34" customFormat="1">
      <c r="A6" s="40" t="s">
        <v>0</v>
      </c>
      <c r="B6" s="21"/>
      <c r="C6" s="21"/>
      <c r="D6" s="21" t="str">
        <f>IF(ISERROR(D13*1),"",D12)</f>
        <v>Metric kiloton</v>
      </c>
      <c r="E6" s="21" t="str">
        <f t="shared" ref="E6:CB6" si="4">IF(ISERROR(E13*1),"",E12)</f>
        <v>Rank</v>
      </c>
      <c r="F6" s="21" t="str">
        <f t="shared" si="4"/>
        <v>Score</v>
      </c>
      <c r="G6" s="21" t="str">
        <f t="shared" si="4"/>
        <v>Metric kiloton</v>
      </c>
      <c r="H6" s="21" t="str">
        <f t="shared" si="4"/>
        <v>Rank</v>
      </c>
      <c r="I6" s="21" t="str">
        <f t="shared" si="4"/>
        <v>Score</v>
      </c>
      <c r="J6" s="21" t="str">
        <f t="shared" si="4"/>
        <v>Metric kiloton</v>
      </c>
      <c r="K6" s="21" t="str">
        <f t="shared" si="4"/>
        <v>Rank</v>
      </c>
      <c r="L6" s="21" t="str">
        <f t="shared" si="4"/>
        <v>Score</v>
      </c>
      <c r="M6" s="21" t="str">
        <f t="shared" si="4"/>
        <v>Metric kiloton</v>
      </c>
      <c r="N6" s="21" t="str">
        <f t="shared" si="4"/>
        <v>Rank</v>
      </c>
      <c r="O6" s="21" t="str">
        <f t="shared" si="4"/>
        <v>Score</v>
      </c>
      <c r="P6" s="21" t="str">
        <f t="shared" si="4"/>
        <v>Metric kiloton</v>
      </c>
      <c r="Q6" s="21" t="str">
        <f t="shared" si="4"/>
        <v>Rank</v>
      </c>
      <c r="R6" s="21" t="str">
        <f t="shared" si="4"/>
        <v>Score</v>
      </c>
      <c r="S6" s="21" t="str">
        <f t="shared" si="4"/>
        <v>Metric kiloton</v>
      </c>
      <c r="T6" s="21" t="str">
        <f t="shared" si="4"/>
        <v>Rank</v>
      </c>
      <c r="U6" s="21" t="str">
        <f t="shared" si="4"/>
        <v>Score</v>
      </c>
      <c r="V6" s="21" t="str">
        <f t="shared" si="4"/>
        <v>Score</v>
      </c>
      <c r="W6" s="21" t="str">
        <f t="shared" si="4"/>
        <v>Rank</v>
      </c>
      <c r="X6" s="21" t="str">
        <f t="shared" si="4"/>
        <v>Score</v>
      </c>
      <c r="Y6" s="21" t="str">
        <f t="shared" si="4"/>
        <v>Rank</v>
      </c>
      <c r="Z6" s="21" t="str">
        <f t="shared" si="4"/>
        <v>Metric kiloton</v>
      </c>
      <c r="AA6" s="21" t="str">
        <f t="shared" si="4"/>
        <v>Rank</v>
      </c>
      <c r="AB6" s="21" t="str">
        <f t="shared" si="4"/>
        <v>Score</v>
      </c>
      <c r="AC6" s="21" t="str">
        <f t="shared" si="4"/>
        <v>Metric kiloton</v>
      </c>
      <c r="AD6" s="21" t="str">
        <f t="shared" si="4"/>
        <v>Rank</v>
      </c>
      <c r="AE6" s="21" t="str">
        <f t="shared" si="4"/>
        <v>Score</v>
      </c>
      <c r="AF6" s="21" t="str">
        <f t="shared" si="4"/>
        <v>Metric kiloton</v>
      </c>
      <c r="AG6" s="21" t="str">
        <f t="shared" si="4"/>
        <v>Rank</v>
      </c>
      <c r="AH6" s="21" t="str">
        <f t="shared" si="4"/>
        <v>Score</v>
      </c>
      <c r="AI6" s="21" t="str">
        <f t="shared" si="4"/>
        <v>Metric kiloton</v>
      </c>
      <c r="AJ6" s="21" t="str">
        <f t="shared" si="4"/>
        <v>Rank</v>
      </c>
      <c r="AK6" s="21" t="str">
        <f t="shared" si="4"/>
        <v>Score</v>
      </c>
      <c r="AL6" s="21" t="str">
        <f t="shared" si="4"/>
        <v>Metric kiloton</v>
      </c>
      <c r="AM6" s="21" t="str">
        <f t="shared" si="4"/>
        <v>Rank</v>
      </c>
      <c r="AN6" s="21" t="str">
        <f t="shared" si="4"/>
        <v>Score</v>
      </c>
      <c r="AO6" s="21" t="str">
        <f t="shared" si="4"/>
        <v>Metric kiloton</v>
      </c>
      <c r="AP6" s="21" t="str">
        <f t="shared" si="4"/>
        <v>Rank</v>
      </c>
      <c r="AQ6" s="21" t="str">
        <f t="shared" si="4"/>
        <v>Score</v>
      </c>
      <c r="AR6" s="21" t="str">
        <f t="shared" si="4"/>
        <v>Score</v>
      </c>
      <c r="AS6" s="21" t="str">
        <f t="shared" si="4"/>
        <v>Rank</v>
      </c>
      <c r="AT6" s="21" t="str">
        <f t="shared" si="4"/>
        <v>Score</v>
      </c>
      <c r="AU6" s="21" t="str">
        <f t="shared" si="4"/>
        <v>Rank</v>
      </c>
      <c r="AV6" s="21" t="str">
        <f t="shared" si="4"/>
        <v>Metric kiloton</v>
      </c>
      <c r="AW6" s="21" t="str">
        <f t="shared" si="4"/>
        <v>Rank</v>
      </c>
      <c r="AX6" s="21" t="str">
        <f t="shared" si="4"/>
        <v>Score</v>
      </c>
      <c r="AY6" s="21" t="str">
        <f t="shared" si="4"/>
        <v>Metric kiloton</v>
      </c>
      <c r="AZ6" s="21" t="str">
        <f t="shared" si="4"/>
        <v>Rank</v>
      </c>
      <c r="BA6" s="21" t="str">
        <f t="shared" si="4"/>
        <v>Score</v>
      </c>
      <c r="BB6" s="21" t="str">
        <f t="shared" si="4"/>
        <v>Metric kiloton LCE</v>
      </c>
      <c r="BC6" s="21" t="str">
        <f t="shared" si="4"/>
        <v>Rank</v>
      </c>
      <c r="BD6" s="21" t="str">
        <f t="shared" si="4"/>
        <v>Score</v>
      </c>
      <c r="BE6" s="21" t="str">
        <f t="shared" si="4"/>
        <v>Metric kiloton LCE</v>
      </c>
      <c r="BF6" s="21" t="str">
        <f t="shared" si="4"/>
        <v>Rank</v>
      </c>
      <c r="BG6" s="21" t="str">
        <f t="shared" si="4"/>
        <v>Score</v>
      </c>
      <c r="BH6" s="21" t="str">
        <f t="shared" si="4"/>
        <v>Metric kiloton LCE</v>
      </c>
      <c r="BI6" s="21" t="str">
        <f t="shared" si="4"/>
        <v>Rank</v>
      </c>
      <c r="BJ6" s="21" t="str">
        <f t="shared" si="4"/>
        <v>Score</v>
      </c>
      <c r="BK6" s="21" t="str">
        <f t="shared" si="4"/>
        <v>Metric kiloton LCE</v>
      </c>
      <c r="BL6" s="21" t="str">
        <f t="shared" si="4"/>
        <v>Rank</v>
      </c>
      <c r="BM6" s="21" t="str">
        <f t="shared" si="4"/>
        <v>Score</v>
      </c>
      <c r="BN6" s="21" t="str">
        <f t="shared" si="4"/>
        <v>Score</v>
      </c>
      <c r="BO6" s="21" t="str">
        <f t="shared" si="4"/>
        <v>Rank</v>
      </c>
      <c r="BP6" s="21" t="str">
        <f t="shared" si="4"/>
        <v>Score</v>
      </c>
      <c r="BQ6" s="21" t="str">
        <f t="shared" si="4"/>
        <v>Rank</v>
      </c>
      <c r="BR6" s="21" t="str">
        <f t="shared" si="4"/>
        <v>Metric kiloton</v>
      </c>
      <c r="BS6" s="21" t="str">
        <f t="shared" si="4"/>
        <v>Rank</v>
      </c>
      <c r="BT6" s="21" t="str">
        <f t="shared" si="4"/>
        <v>Score</v>
      </c>
      <c r="BU6" s="21" t="str">
        <f t="shared" si="4"/>
        <v>Metric kiloton</v>
      </c>
      <c r="BV6" s="21" t="str">
        <f t="shared" si="4"/>
        <v>Rank</v>
      </c>
      <c r="BW6" s="21" t="str">
        <f t="shared" si="4"/>
        <v>Score</v>
      </c>
      <c r="BX6" s="21" t="str">
        <f t="shared" si="4"/>
        <v>Metric kiloton</v>
      </c>
      <c r="BY6" s="21" t="str">
        <f t="shared" si="4"/>
        <v>Rank</v>
      </c>
      <c r="BZ6" s="21" t="str">
        <f t="shared" si="4"/>
        <v>Score</v>
      </c>
      <c r="CA6" s="21" t="str">
        <f t="shared" si="4"/>
        <v>Metric kiloton</v>
      </c>
      <c r="CB6" s="21" t="str">
        <f t="shared" si="4"/>
        <v>Rank</v>
      </c>
      <c r="CC6" s="21" t="str">
        <f t="shared" ref="CC6:DN6" si="5">IF(ISERROR(CC13*1),"",CC12)</f>
        <v>Score</v>
      </c>
      <c r="CD6" s="21" t="str">
        <f t="shared" si="5"/>
        <v>Metric kiloton</v>
      </c>
      <c r="CE6" s="21" t="str">
        <f t="shared" si="5"/>
        <v>Rank</v>
      </c>
      <c r="CF6" s="21" t="str">
        <f t="shared" si="5"/>
        <v>Score</v>
      </c>
      <c r="CG6" s="21" t="str">
        <f t="shared" si="5"/>
        <v>Metric kiloton</v>
      </c>
      <c r="CH6" s="21" t="str">
        <f t="shared" si="5"/>
        <v>Rank</v>
      </c>
      <c r="CI6" s="21" t="str">
        <f t="shared" si="5"/>
        <v>Score</v>
      </c>
      <c r="CJ6" s="21" t="str">
        <f t="shared" si="5"/>
        <v>Score</v>
      </c>
      <c r="CK6" s="21" t="str">
        <f t="shared" si="5"/>
        <v>Rank</v>
      </c>
      <c r="CL6" s="21" t="str">
        <f t="shared" si="5"/>
        <v>Score</v>
      </c>
      <c r="CM6" s="21" t="str">
        <f t="shared" si="5"/>
        <v>Rank</v>
      </c>
      <c r="CN6" s="21" t="str">
        <f t="shared" si="5"/>
        <v>Metric kiloton</v>
      </c>
      <c r="CO6" s="21" t="str">
        <f t="shared" si="5"/>
        <v>Rank</v>
      </c>
      <c r="CP6" s="21" t="str">
        <f t="shared" si="5"/>
        <v>Score</v>
      </c>
      <c r="CQ6" s="21" t="str">
        <f t="shared" si="5"/>
        <v>Metric kiloton</v>
      </c>
      <c r="CR6" s="21" t="str">
        <f t="shared" si="5"/>
        <v>Rank</v>
      </c>
      <c r="CS6" s="21" t="str">
        <f t="shared" si="5"/>
        <v>Score</v>
      </c>
      <c r="CT6" s="21" t="str">
        <f t="shared" si="5"/>
        <v>Metric kiloton</v>
      </c>
      <c r="CU6" s="21" t="str">
        <f t="shared" si="5"/>
        <v>Rank</v>
      </c>
      <c r="CV6" s="21" t="str">
        <f t="shared" si="5"/>
        <v>Score</v>
      </c>
      <c r="CW6" s="21" t="str">
        <f t="shared" si="5"/>
        <v>Metric kiloton</v>
      </c>
      <c r="CX6" s="21" t="str">
        <f t="shared" si="5"/>
        <v>Rank</v>
      </c>
      <c r="CY6" s="21" t="str">
        <f t="shared" si="5"/>
        <v>Score</v>
      </c>
      <c r="CZ6" s="21" t="str">
        <f t="shared" si="5"/>
        <v>Metric kiloton</v>
      </c>
      <c r="DA6" s="21" t="str">
        <f t="shared" si="5"/>
        <v>Rank</v>
      </c>
      <c r="DB6" s="21" t="str">
        <f t="shared" si="5"/>
        <v>Score</v>
      </c>
      <c r="DC6" s="21" t="str">
        <f t="shared" si="5"/>
        <v>Metric kiloton</v>
      </c>
      <c r="DD6" s="21" t="str">
        <f t="shared" si="5"/>
        <v>Rank</v>
      </c>
      <c r="DE6" s="21" t="str">
        <f t="shared" si="5"/>
        <v>Score</v>
      </c>
      <c r="DF6" s="21" t="str">
        <f t="shared" si="5"/>
        <v>Score</v>
      </c>
      <c r="DG6" s="21" t="str">
        <f t="shared" si="5"/>
        <v>Rank</v>
      </c>
      <c r="DH6" s="21" t="str">
        <f t="shared" si="5"/>
        <v>Score</v>
      </c>
      <c r="DI6" s="21" t="str">
        <f t="shared" si="5"/>
        <v>Rank</v>
      </c>
      <c r="DJ6" s="21" t="str">
        <f t="shared" ca="1" si="5"/>
        <v>Score</v>
      </c>
      <c r="DK6" s="21" t="str">
        <f t="shared" si="5"/>
        <v>Rank</v>
      </c>
      <c r="DL6" s="21" t="str">
        <f t="shared" ca="1" si="5"/>
        <v>Score</v>
      </c>
      <c r="DM6" s="21" t="str">
        <f t="shared" ca="1" si="5"/>
        <v>Rank</v>
      </c>
      <c r="DN6" s="21">
        <f t="shared" ca="1" si="5"/>
        <v>0</v>
      </c>
    </row>
    <row r="7" spans="1:121">
      <c r="D7" s="21">
        <f>IF(D11="",C7,D11)</f>
        <v>2022</v>
      </c>
      <c r="E7" s="21">
        <f t="shared" ref="E7:CB7" si="6">IF(E11="",D7,E11)</f>
        <v>2022</v>
      </c>
      <c r="F7" s="21">
        <f t="shared" si="6"/>
        <v>2022</v>
      </c>
      <c r="G7" s="21">
        <f t="shared" si="6"/>
        <v>2023</v>
      </c>
      <c r="H7" s="21">
        <f t="shared" si="6"/>
        <v>2023</v>
      </c>
      <c r="I7" s="21">
        <f t="shared" si="6"/>
        <v>2023</v>
      </c>
      <c r="J7" s="21">
        <f t="shared" si="6"/>
        <v>2022</v>
      </c>
      <c r="K7" s="21">
        <f t="shared" si="6"/>
        <v>2022</v>
      </c>
      <c r="L7" s="21">
        <f t="shared" si="6"/>
        <v>2022</v>
      </c>
      <c r="M7" s="21">
        <f t="shared" si="6"/>
        <v>2023</v>
      </c>
      <c r="N7" s="21">
        <f t="shared" si="6"/>
        <v>2023</v>
      </c>
      <c r="O7" s="21">
        <f t="shared" si="6"/>
        <v>2023</v>
      </c>
      <c r="P7" s="21">
        <f t="shared" si="6"/>
        <v>2022</v>
      </c>
      <c r="Q7" s="21">
        <f t="shared" si="6"/>
        <v>2022</v>
      </c>
      <c r="R7" s="21">
        <f t="shared" si="6"/>
        <v>2022</v>
      </c>
      <c r="S7" s="21">
        <f t="shared" si="6"/>
        <v>2023</v>
      </c>
      <c r="T7" s="21">
        <f>IF(T11="",S7,T11)</f>
        <v>2023</v>
      </c>
      <c r="U7" s="21">
        <f t="shared" si="6"/>
        <v>2023</v>
      </c>
      <c r="V7" s="21">
        <f t="shared" si="6"/>
        <v>2022</v>
      </c>
      <c r="W7" s="21">
        <f t="shared" si="6"/>
        <v>2022</v>
      </c>
      <c r="X7" s="21">
        <f t="shared" si="6"/>
        <v>2023</v>
      </c>
      <c r="Y7" s="21">
        <f t="shared" si="6"/>
        <v>2023</v>
      </c>
      <c r="Z7" s="21">
        <f>IF(Z11="",U7,Z11)</f>
        <v>2022</v>
      </c>
      <c r="AA7" s="21">
        <f t="shared" si="6"/>
        <v>2022</v>
      </c>
      <c r="AB7" s="21">
        <f t="shared" si="6"/>
        <v>2022</v>
      </c>
      <c r="AC7" s="21">
        <f t="shared" si="6"/>
        <v>2023</v>
      </c>
      <c r="AD7" s="21">
        <f t="shared" si="6"/>
        <v>2023</v>
      </c>
      <c r="AE7" s="21">
        <f t="shared" si="6"/>
        <v>2023</v>
      </c>
      <c r="AF7" s="21">
        <f t="shared" si="6"/>
        <v>2022</v>
      </c>
      <c r="AG7" s="21">
        <f t="shared" si="6"/>
        <v>2022</v>
      </c>
      <c r="AH7" s="21">
        <f t="shared" si="6"/>
        <v>2022</v>
      </c>
      <c r="AI7" s="21">
        <f t="shared" si="6"/>
        <v>2023</v>
      </c>
      <c r="AJ7" s="21">
        <f t="shared" si="6"/>
        <v>2023</v>
      </c>
      <c r="AK7" s="21">
        <f t="shared" si="6"/>
        <v>2023</v>
      </c>
      <c r="AL7" s="21">
        <f t="shared" si="6"/>
        <v>2022</v>
      </c>
      <c r="AM7" s="21">
        <f t="shared" si="6"/>
        <v>2022</v>
      </c>
      <c r="AN7" s="21">
        <f t="shared" si="6"/>
        <v>2022</v>
      </c>
      <c r="AO7" s="21">
        <f t="shared" si="6"/>
        <v>2023</v>
      </c>
      <c r="AP7" s="21">
        <f t="shared" si="6"/>
        <v>2023</v>
      </c>
      <c r="AQ7" s="21">
        <f t="shared" si="6"/>
        <v>2023</v>
      </c>
      <c r="AR7" s="21">
        <f t="shared" si="6"/>
        <v>2022</v>
      </c>
      <c r="AS7" s="21">
        <f t="shared" si="6"/>
        <v>2022</v>
      </c>
      <c r="AT7" s="21">
        <f t="shared" si="6"/>
        <v>2023</v>
      </c>
      <c r="AU7" s="21">
        <f t="shared" si="6"/>
        <v>2023</v>
      </c>
      <c r="AV7" s="21">
        <f>IF(AV11="",AQ7,AV11)</f>
        <v>2022</v>
      </c>
      <c r="AW7" s="21">
        <f t="shared" si="6"/>
        <v>2022</v>
      </c>
      <c r="AX7" s="21">
        <f t="shared" si="6"/>
        <v>2022</v>
      </c>
      <c r="AY7" s="21">
        <f t="shared" si="6"/>
        <v>2023</v>
      </c>
      <c r="AZ7" s="21">
        <f t="shared" si="6"/>
        <v>2023</v>
      </c>
      <c r="BA7" s="21">
        <f t="shared" si="6"/>
        <v>2023</v>
      </c>
      <c r="BB7" s="21">
        <f t="shared" si="6"/>
        <v>2022</v>
      </c>
      <c r="BC7" s="21">
        <f t="shared" si="6"/>
        <v>2022</v>
      </c>
      <c r="BD7" s="21">
        <f t="shared" si="6"/>
        <v>2022</v>
      </c>
      <c r="BE7" s="21">
        <f t="shared" si="6"/>
        <v>2023</v>
      </c>
      <c r="BF7" s="21">
        <f t="shared" si="6"/>
        <v>2023</v>
      </c>
      <c r="BG7" s="21">
        <f t="shared" si="6"/>
        <v>2023</v>
      </c>
      <c r="BH7" s="21">
        <f t="shared" si="6"/>
        <v>2022</v>
      </c>
      <c r="BI7" s="21">
        <f t="shared" si="6"/>
        <v>2022</v>
      </c>
      <c r="BJ7" s="21">
        <f t="shared" si="6"/>
        <v>2022</v>
      </c>
      <c r="BK7" s="21">
        <f t="shared" si="6"/>
        <v>2023</v>
      </c>
      <c r="BL7" s="21">
        <f t="shared" si="6"/>
        <v>2023</v>
      </c>
      <c r="BM7" s="21">
        <f t="shared" si="6"/>
        <v>2023</v>
      </c>
      <c r="BN7" s="21">
        <f t="shared" si="6"/>
        <v>2022</v>
      </c>
      <c r="BO7" s="21">
        <f t="shared" si="6"/>
        <v>2022</v>
      </c>
      <c r="BP7" s="21">
        <f t="shared" si="6"/>
        <v>2023</v>
      </c>
      <c r="BQ7" s="21">
        <f t="shared" si="6"/>
        <v>2023</v>
      </c>
      <c r="BR7" s="21">
        <f>IF(BR11="",BM7,BR11)</f>
        <v>2022</v>
      </c>
      <c r="BS7" s="21">
        <f t="shared" si="6"/>
        <v>2022</v>
      </c>
      <c r="BT7" s="21">
        <f t="shared" si="6"/>
        <v>2022</v>
      </c>
      <c r="BU7" s="21">
        <f t="shared" si="6"/>
        <v>2023</v>
      </c>
      <c r="BV7" s="21">
        <f t="shared" si="6"/>
        <v>2023</v>
      </c>
      <c r="BW7" s="21">
        <f t="shared" si="6"/>
        <v>2023</v>
      </c>
      <c r="BX7" s="21">
        <f>IF(BX11="",BW7,BX11)</f>
        <v>2022</v>
      </c>
      <c r="BY7" s="21">
        <f t="shared" si="6"/>
        <v>2022</v>
      </c>
      <c r="BZ7" s="21">
        <f t="shared" si="6"/>
        <v>2022</v>
      </c>
      <c r="CA7" s="21">
        <f t="shared" si="6"/>
        <v>2023</v>
      </c>
      <c r="CB7" s="21">
        <f t="shared" si="6"/>
        <v>2023</v>
      </c>
      <c r="CC7" s="21">
        <f t="shared" ref="CC7:DN7" si="7">IF(CC11="",CB7,CC11)</f>
        <v>2023</v>
      </c>
      <c r="CD7" s="21">
        <f t="shared" si="7"/>
        <v>2022</v>
      </c>
      <c r="CE7" s="21">
        <f t="shared" si="7"/>
        <v>2022</v>
      </c>
      <c r="CF7" s="21">
        <f t="shared" si="7"/>
        <v>2022</v>
      </c>
      <c r="CG7" s="21">
        <f t="shared" si="7"/>
        <v>2023</v>
      </c>
      <c r="CH7" s="21">
        <f t="shared" si="7"/>
        <v>2023</v>
      </c>
      <c r="CI7" s="21">
        <f t="shared" si="7"/>
        <v>2023</v>
      </c>
      <c r="CJ7" s="21">
        <f t="shared" si="7"/>
        <v>2022</v>
      </c>
      <c r="CK7" s="21">
        <f t="shared" si="7"/>
        <v>2022</v>
      </c>
      <c r="CL7" s="21">
        <f t="shared" si="7"/>
        <v>2023</v>
      </c>
      <c r="CM7" s="21">
        <f t="shared" si="7"/>
        <v>2023</v>
      </c>
      <c r="CN7" s="21">
        <f>IF(CN11="",CI7,CN11)</f>
        <v>2022</v>
      </c>
      <c r="CO7" s="21">
        <f t="shared" si="7"/>
        <v>2022</v>
      </c>
      <c r="CP7" s="21">
        <f t="shared" si="7"/>
        <v>2022</v>
      </c>
      <c r="CQ7" s="21">
        <f t="shared" si="7"/>
        <v>2023</v>
      </c>
      <c r="CR7" s="21">
        <f t="shared" si="7"/>
        <v>2023</v>
      </c>
      <c r="CS7" s="21">
        <f t="shared" si="7"/>
        <v>2023</v>
      </c>
      <c r="CT7" s="21">
        <f t="shared" si="7"/>
        <v>2022</v>
      </c>
      <c r="CU7" s="21">
        <f t="shared" si="7"/>
        <v>2022</v>
      </c>
      <c r="CV7" s="21">
        <f t="shared" si="7"/>
        <v>2022</v>
      </c>
      <c r="CW7" s="21">
        <f t="shared" si="7"/>
        <v>2023</v>
      </c>
      <c r="CX7" s="21">
        <f t="shared" si="7"/>
        <v>2023</v>
      </c>
      <c r="CY7" s="21">
        <f t="shared" si="7"/>
        <v>2023</v>
      </c>
      <c r="CZ7" s="21">
        <f t="shared" si="7"/>
        <v>2022</v>
      </c>
      <c r="DA7" s="21">
        <f t="shared" si="7"/>
        <v>2022</v>
      </c>
      <c r="DB7" s="21">
        <f t="shared" si="7"/>
        <v>2022</v>
      </c>
      <c r="DC7" s="21">
        <f t="shared" si="7"/>
        <v>2023</v>
      </c>
      <c r="DD7" s="21">
        <f t="shared" si="7"/>
        <v>2023</v>
      </c>
      <c r="DE7" s="21">
        <f t="shared" si="7"/>
        <v>2023</v>
      </c>
      <c r="DF7" s="21">
        <f t="shared" si="7"/>
        <v>2022</v>
      </c>
      <c r="DG7" s="21">
        <f t="shared" si="7"/>
        <v>2022</v>
      </c>
      <c r="DH7" s="21">
        <f t="shared" si="7"/>
        <v>2023</v>
      </c>
      <c r="DI7" s="21">
        <f t="shared" si="7"/>
        <v>2023</v>
      </c>
      <c r="DJ7" s="21">
        <f>IF(DJ11="",DE7,DJ11)</f>
        <v>2022</v>
      </c>
      <c r="DK7" s="21">
        <f t="shared" si="7"/>
        <v>2022</v>
      </c>
      <c r="DL7" s="21">
        <f t="shared" si="7"/>
        <v>2023</v>
      </c>
      <c r="DM7" s="21">
        <f t="shared" si="7"/>
        <v>2023</v>
      </c>
      <c r="DN7" s="21" t="str">
        <f t="shared" si="7"/>
        <v>Rank Change</v>
      </c>
    </row>
    <row r="8" spans="1:121" ht="20.100000000000001" customHeight="1">
      <c r="B8" s="776" t="s">
        <v>87</v>
      </c>
      <c r="C8" s="776" t="s">
        <v>23</v>
      </c>
      <c r="D8" s="794" t="s">
        <v>326</v>
      </c>
      <c r="E8" s="795"/>
      <c r="F8" s="795"/>
      <c r="G8" s="795"/>
      <c r="H8" s="795"/>
      <c r="I8" s="795"/>
      <c r="J8" s="795"/>
      <c r="K8" s="795"/>
      <c r="L8" s="795"/>
      <c r="M8" s="795"/>
      <c r="N8" s="795"/>
      <c r="O8" s="795"/>
      <c r="P8" s="795"/>
      <c r="Q8" s="795"/>
      <c r="R8" s="795"/>
      <c r="S8" s="795"/>
      <c r="T8" s="795"/>
      <c r="U8" s="795"/>
      <c r="V8" s="795"/>
      <c r="W8" s="795"/>
      <c r="X8" s="795"/>
      <c r="Y8" s="795"/>
      <c r="Z8" s="795"/>
      <c r="AA8" s="795"/>
      <c r="AB8" s="795"/>
      <c r="AC8" s="795"/>
      <c r="AD8" s="795"/>
      <c r="AE8" s="795"/>
      <c r="AF8" s="795"/>
      <c r="AG8" s="795"/>
      <c r="AH8" s="795"/>
      <c r="AI8" s="795"/>
      <c r="AJ8" s="795"/>
      <c r="AK8" s="795"/>
      <c r="AL8" s="795"/>
      <c r="AM8" s="795"/>
      <c r="AN8" s="795"/>
      <c r="AO8" s="795"/>
      <c r="AP8" s="795"/>
      <c r="AQ8" s="795"/>
      <c r="AR8" s="795"/>
      <c r="AS8" s="795"/>
      <c r="AT8" s="795"/>
      <c r="AU8" s="795"/>
      <c r="AV8" s="795"/>
      <c r="AW8" s="795"/>
      <c r="AX8" s="795"/>
      <c r="AY8" s="795"/>
      <c r="AZ8" s="795"/>
      <c r="BA8" s="795"/>
      <c r="BB8" s="795"/>
      <c r="BC8" s="795"/>
      <c r="BD8" s="795"/>
      <c r="BE8" s="795"/>
      <c r="BF8" s="795"/>
      <c r="BG8" s="795"/>
      <c r="BH8" s="795"/>
      <c r="BI8" s="795"/>
      <c r="BJ8" s="795"/>
      <c r="BK8" s="795"/>
      <c r="BL8" s="795"/>
      <c r="BM8" s="795"/>
      <c r="BN8" s="795"/>
      <c r="BO8" s="795"/>
      <c r="BP8" s="795"/>
      <c r="BQ8" s="795"/>
      <c r="BR8" s="795"/>
      <c r="BS8" s="795"/>
      <c r="BT8" s="795"/>
      <c r="BU8" s="795"/>
      <c r="BV8" s="795"/>
      <c r="BW8" s="795"/>
      <c r="BX8" s="795"/>
      <c r="BY8" s="795"/>
      <c r="BZ8" s="795"/>
      <c r="CA8" s="795"/>
      <c r="CB8" s="795"/>
      <c r="CC8" s="795"/>
      <c r="CD8" s="795"/>
      <c r="CE8" s="795"/>
      <c r="CF8" s="795"/>
      <c r="CG8" s="795"/>
      <c r="CH8" s="795"/>
      <c r="CI8" s="795"/>
      <c r="CJ8" s="795"/>
      <c r="CK8" s="795"/>
      <c r="CL8" s="795"/>
      <c r="CM8" s="795"/>
      <c r="CN8" s="795"/>
      <c r="CO8" s="795"/>
      <c r="CP8" s="795"/>
      <c r="CQ8" s="795"/>
      <c r="CR8" s="795"/>
      <c r="CS8" s="795"/>
      <c r="CT8" s="795"/>
      <c r="CU8" s="795"/>
      <c r="CV8" s="795"/>
      <c r="CW8" s="795"/>
      <c r="CX8" s="795"/>
      <c r="CY8" s="795"/>
      <c r="CZ8" s="795"/>
      <c r="DA8" s="795"/>
      <c r="DB8" s="795"/>
      <c r="DC8" s="795"/>
      <c r="DD8" s="795"/>
      <c r="DE8" s="795"/>
      <c r="DF8" s="795"/>
      <c r="DG8" s="795"/>
      <c r="DH8" s="795"/>
      <c r="DI8" s="795"/>
      <c r="DJ8" s="795"/>
      <c r="DK8" s="795"/>
      <c r="DL8" s="795"/>
      <c r="DM8" s="795"/>
      <c r="DN8" s="796"/>
      <c r="DO8" s="776" t="s">
        <v>23</v>
      </c>
      <c r="DP8" s="776" t="s">
        <v>87</v>
      </c>
    </row>
    <row r="9" spans="1:121" ht="20.100000000000001" customHeight="1">
      <c r="B9" s="777"/>
      <c r="C9" s="777"/>
      <c r="D9" s="779" t="s">
        <v>327</v>
      </c>
      <c r="E9" s="780"/>
      <c r="F9" s="780"/>
      <c r="G9" s="780"/>
      <c r="H9" s="780"/>
      <c r="I9" s="780"/>
      <c r="J9" s="780"/>
      <c r="K9" s="780"/>
      <c r="L9" s="780"/>
      <c r="M9" s="780"/>
      <c r="N9" s="780"/>
      <c r="O9" s="780"/>
      <c r="P9" s="780"/>
      <c r="Q9" s="780"/>
      <c r="R9" s="780"/>
      <c r="S9" s="780"/>
      <c r="T9" s="780"/>
      <c r="U9" s="297"/>
      <c r="V9" s="297"/>
      <c r="W9" s="297"/>
      <c r="X9" s="297"/>
      <c r="Y9" s="297"/>
      <c r="Z9" s="779" t="s">
        <v>328</v>
      </c>
      <c r="AA9" s="780"/>
      <c r="AB9" s="780"/>
      <c r="AC9" s="780"/>
      <c r="AD9" s="780"/>
      <c r="AE9" s="780"/>
      <c r="AF9" s="780"/>
      <c r="AG9" s="780"/>
      <c r="AH9" s="780"/>
      <c r="AI9" s="780"/>
      <c r="AJ9" s="780"/>
      <c r="AK9" s="780"/>
      <c r="AL9" s="780"/>
      <c r="AM9" s="780"/>
      <c r="AN9" s="780"/>
      <c r="AO9" s="780"/>
      <c r="AP9" s="780"/>
      <c r="AQ9" s="781"/>
      <c r="AR9" s="297"/>
      <c r="AS9" s="297"/>
      <c r="AT9" s="297"/>
      <c r="AU9" s="297"/>
      <c r="AV9" s="779" t="s">
        <v>329</v>
      </c>
      <c r="AW9" s="780"/>
      <c r="AX9" s="780"/>
      <c r="AY9" s="780"/>
      <c r="AZ9" s="780"/>
      <c r="BA9" s="780"/>
      <c r="BB9" s="780"/>
      <c r="BC9" s="780"/>
      <c r="BD9" s="780"/>
      <c r="BE9" s="780"/>
      <c r="BF9" s="780"/>
      <c r="BG9" s="780"/>
      <c r="BH9" s="780"/>
      <c r="BI9" s="780"/>
      <c r="BJ9" s="780"/>
      <c r="BK9" s="780"/>
      <c r="BL9" s="780"/>
      <c r="BM9" s="781"/>
      <c r="BN9" s="297"/>
      <c r="BO9" s="297"/>
      <c r="BP9" s="297"/>
      <c r="BQ9" s="297"/>
      <c r="BR9" s="779" t="s">
        <v>330</v>
      </c>
      <c r="BS9" s="780"/>
      <c r="BT9" s="780"/>
      <c r="BU9" s="780"/>
      <c r="BV9" s="780"/>
      <c r="BW9" s="780"/>
      <c r="BX9" s="780"/>
      <c r="BY9" s="780"/>
      <c r="BZ9" s="780"/>
      <c r="CA9" s="780"/>
      <c r="CB9" s="780"/>
      <c r="CC9" s="780"/>
      <c r="CD9" s="780"/>
      <c r="CE9" s="780"/>
      <c r="CF9" s="780"/>
      <c r="CG9" s="780"/>
      <c r="CH9" s="780"/>
      <c r="CI9" s="781"/>
      <c r="CJ9" s="297"/>
      <c r="CK9" s="297"/>
      <c r="CL9" s="297"/>
      <c r="CM9" s="297"/>
      <c r="CN9" s="779" t="s">
        <v>331</v>
      </c>
      <c r="CO9" s="780"/>
      <c r="CP9" s="780"/>
      <c r="CQ9" s="780"/>
      <c r="CR9" s="780"/>
      <c r="CS9" s="780"/>
      <c r="CT9" s="780"/>
      <c r="CU9" s="780"/>
      <c r="CV9" s="780"/>
      <c r="CW9" s="780"/>
      <c r="CX9" s="780"/>
      <c r="CY9" s="780"/>
      <c r="CZ9" s="780"/>
      <c r="DA9" s="780"/>
      <c r="DB9" s="780"/>
      <c r="DC9" s="780"/>
      <c r="DD9" s="780"/>
      <c r="DE9" s="781"/>
      <c r="DF9" s="297"/>
      <c r="DG9" s="297"/>
      <c r="DH9" s="297"/>
      <c r="DI9" s="297"/>
      <c r="DJ9" s="782" t="s">
        <v>332</v>
      </c>
      <c r="DK9" s="783"/>
      <c r="DL9" s="783"/>
      <c r="DM9" s="783"/>
      <c r="DN9" s="784"/>
      <c r="DO9" s="777"/>
      <c r="DP9" s="777"/>
    </row>
    <row r="10" spans="1:121" ht="20.100000000000001" customHeight="1">
      <c r="B10" s="777"/>
      <c r="C10" s="777"/>
      <c r="D10" s="773" t="s">
        <v>333</v>
      </c>
      <c r="E10" s="774"/>
      <c r="F10" s="774"/>
      <c r="G10" s="774"/>
      <c r="H10" s="774"/>
      <c r="I10" s="775"/>
      <c r="J10" s="773" t="s">
        <v>334</v>
      </c>
      <c r="K10" s="774"/>
      <c r="L10" s="774"/>
      <c r="M10" s="774"/>
      <c r="N10" s="774"/>
      <c r="O10" s="775"/>
      <c r="P10" s="773" t="s">
        <v>335</v>
      </c>
      <c r="Q10" s="774"/>
      <c r="R10" s="774"/>
      <c r="S10" s="774"/>
      <c r="T10" s="774"/>
      <c r="U10" s="775"/>
      <c r="V10" s="773" t="s">
        <v>417</v>
      </c>
      <c r="W10" s="774"/>
      <c r="X10" s="774"/>
      <c r="Y10" s="775"/>
      <c r="Z10" s="773" t="s">
        <v>333</v>
      </c>
      <c r="AA10" s="774"/>
      <c r="AB10" s="774"/>
      <c r="AC10" s="774"/>
      <c r="AD10" s="774"/>
      <c r="AE10" s="775"/>
      <c r="AF10" s="773" t="s">
        <v>334</v>
      </c>
      <c r="AG10" s="774"/>
      <c r="AH10" s="774"/>
      <c r="AI10" s="774"/>
      <c r="AJ10" s="774"/>
      <c r="AK10" s="775"/>
      <c r="AL10" s="773" t="s">
        <v>335</v>
      </c>
      <c r="AM10" s="774"/>
      <c r="AN10" s="774"/>
      <c r="AO10" s="774"/>
      <c r="AP10" s="774"/>
      <c r="AQ10" s="775"/>
      <c r="AR10" s="773" t="s">
        <v>417</v>
      </c>
      <c r="AS10" s="774"/>
      <c r="AT10" s="774"/>
      <c r="AU10" s="775"/>
      <c r="AV10" s="773" t="s">
        <v>333</v>
      </c>
      <c r="AW10" s="774"/>
      <c r="AX10" s="774"/>
      <c r="AY10" s="774"/>
      <c r="AZ10" s="774"/>
      <c r="BA10" s="775"/>
      <c r="BB10" s="773" t="s">
        <v>334</v>
      </c>
      <c r="BC10" s="774"/>
      <c r="BD10" s="774"/>
      <c r="BE10" s="774"/>
      <c r="BF10" s="774"/>
      <c r="BG10" s="775"/>
      <c r="BH10" s="773" t="s">
        <v>335</v>
      </c>
      <c r="BI10" s="774"/>
      <c r="BJ10" s="774"/>
      <c r="BK10" s="774"/>
      <c r="BL10" s="774"/>
      <c r="BM10" s="775"/>
      <c r="BN10" s="773" t="s">
        <v>417</v>
      </c>
      <c r="BO10" s="774"/>
      <c r="BP10" s="774"/>
      <c r="BQ10" s="775"/>
      <c r="BR10" s="773" t="s">
        <v>333</v>
      </c>
      <c r="BS10" s="774"/>
      <c r="BT10" s="774"/>
      <c r="BU10" s="774"/>
      <c r="BV10" s="774"/>
      <c r="BW10" s="775"/>
      <c r="BX10" s="773" t="s">
        <v>334</v>
      </c>
      <c r="BY10" s="774"/>
      <c r="BZ10" s="774"/>
      <c r="CA10" s="774"/>
      <c r="CB10" s="774"/>
      <c r="CC10" s="775"/>
      <c r="CD10" s="773" t="s">
        <v>335</v>
      </c>
      <c r="CE10" s="774"/>
      <c r="CF10" s="774"/>
      <c r="CG10" s="774"/>
      <c r="CH10" s="774"/>
      <c r="CI10" s="775"/>
      <c r="CJ10" s="773" t="s">
        <v>417</v>
      </c>
      <c r="CK10" s="774"/>
      <c r="CL10" s="774"/>
      <c r="CM10" s="775"/>
      <c r="CN10" s="773" t="s">
        <v>333</v>
      </c>
      <c r="CO10" s="774"/>
      <c r="CP10" s="774"/>
      <c r="CQ10" s="774"/>
      <c r="CR10" s="774"/>
      <c r="CS10" s="775"/>
      <c r="CT10" s="773" t="s">
        <v>334</v>
      </c>
      <c r="CU10" s="774"/>
      <c r="CV10" s="774"/>
      <c r="CW10" s="774"/>
      <c r="CX10" s="774"/>
      <c r="CY10" s="775"/>
      <c r="CZ10" s="773" t="s">
        <v>335</v>
      </c>
      <c r="DA10" s="774"/>
      <c r="DB10" s="774"/>
      <c r="DC10" s="774"/>
      <c r="DD10" s="774"/>
      <c r="DE10" s="775"/>
      <c r="DF10" s="773" t="s">
        <v>417</v>
      </c>
      <c r="DG10" s="774"/>
      <c r="DH10" s="774"/>
      <c r="DI10" s="775"/>
      <c r="DJ10" s="785"/>
      <c r="DK10" s="786"/>
      <c r="DL10" s="786"/>
      <c r="DM10" s="786"/>
      <c r="DN10" s="787"/>
      <c r="DO10" s="777"/>
      <c r="DP10" s="777"/>
    </row>
    <row r="11" spans="1:121" ht="20.100000000000001" customHeight="1">
      <c r="B11" s="777"/>
      <c r="C11" s="777"/>
      <c r="D11" s="670">
        <v>2022</v>
      </c>
      <c r="E11" s="772"/>
      <c r="F11" s="671"/>
      <c r="G11" s="670">
        <v>2023</v>
      </c>
      <c r="H11" s="772"/>
      <c r="I11" s="671"/>
      <c r="J11" s="670">
        <v>2022</v>
      </c>
      <c r="K11" s="772"/>
      <c r="L11" s="671"/>
      <c r="M11" s="670">
        <v>2023</v>
      </c>
      <c r="N11" s="772"/>
      <c r="O11" s="671"/>
      <c r="P11" s="670">
        <v>2022</v>
      </c>
      <c r="Q11" s="772"/>
      <c r="R11" s="671"/>
      <c r="S11" s="670">
        <v>2023</v>
      </c>
      <c r="T11" s="772"/>
      <c r="U11" s="671"/>
      <c r="V11" s="670">
        <v>2022</v>
      </c>
      <c r="W11" s="671"/>
      <c r="X11" s="772">
        <v>2023</v>
      </c>
      <c r="Y11" s="671"/>
      <c r="Z11" s="670">
        <v>2022</v>
      </c>
      <c r="AA11" s="772"/>
      <c r="AB11" s="671"/>
      <c r="AC11" s="670">
        <v>2023</v>
      </c>
      <c r="AD11" s="772"/>
      <c r="AE11" s="671"/>
      <c r="AF11" s="670">
        <v>2022</v>
      </c>
      <c r="AG11" s="772"/>
      <c r="AH11" s="671"/>
      <c r="AI11" s="670">
        <v>2023</v>
      </c>
      <c r="AJ11" s="772"/>
      <c r="AK11" s="671"/>
      <c r="AL11" s="670">
        <v>2022</v>
      </c>
      <c r="AM11" s="772"/>
      <c r="AN11" s="671"/>
      <c r="AO11" s="670">
        <v>2023</v>
      </c>
      <c r="AP11" s="772"/>
      <c r="AQ11" s="671"/>
      <c r="AR11" s="670">
        <v>2022</v>
      </c>
      <c r="AS11" s="671"/>
      <c r="AT11" s="772">
        <v>2023</v>
      </c>
      <c r="AU11" s="671"/>
      <c r="AV11" s="670">
        <v>2022</v>
      </c>
      <c r="AW11" s="772"/>
      <c r="AX11" s="671"/>
      <c r="AY11" s="670">
        <v>2023</v>
      </c>
      <c r="AZ11" s="772"/>
      <c r="BA11" s="671"/>
      <c r="BB11" s="670">
        <v>2022</v>
      </c>
      <c r="BC11" s="772"/>
      <c r="BD11" s="671"/>
      <c r="BE11" s="670">
        <v>2023</v>
      </c>
      <c r="BF11" s="772"/>
      <c r="BG11" s="671"/>
      <c r="BH11" s="670">
        <v>2022</v>
      </c>
      <c r="BI11" s="772"/>
      <c r="BJ11" s="671"/>
      <c r="BK11" s="670">
        <v>2023</v>
      </c>
      <c r="BL11" s="772"/>
      <c r="BM11" s="671"/>
      <c r="BN11" s="670">
        <v>2022</v>
      </c>
      <c r="BO11" s="671"/>
      <c r="BP11" s="772">
        <v>2023</v>
      </c>
      <c r="BQ11" s="671"/>
      <c r="BR11" s="670">
        <v>2022</v>
      </c>
      <c r="BS11" s="772"/>
      <c r="BT11" s="671"/>
      <c r="BU11" s="670">
        <v>2023</v>
      </c>
      <c r="BV11" s="772"/>
      <c r="BW11" s="671"/>
      <c r="BX11" s="670">
        <v>2022</v>
      </c>
      <c r="BY11" s="772"/>
      <c r="BZ11" s="671"/>
      <c r="CA11" s="670">
        <v>2023</v>
      </c>
      <c r="CB11" s="772"/>
      <c r="CC11" s="671"/>
      <c r="CD11" s="670">
        <v>2022</v>
      </c>
      <c r="CE11" s="772"/>
      <c r="CF11" s="671"/>
      <c r="CG11" s="670">
        <v>2023</v>
      </c>
      <c r="CH11" s="772"/>
      <c r="CI11" s="671"/>
      <c r="CJ11" s="670">
        <v>2022</v>
      </c>
      <c r="CK11" s="671"/>
      <c r="CL11" s="772">
        <v>2023</v>
      </c>
      <c r="CM11" s="671"/>
      <c r="CN11" s="670">
        <v>2022</v>
      </c>
      <c r="CO11" s="772"/>
      <c r="CP11" s="671"/>
      <c r="CQ11" s="670">
        <v>2023</v>
      </c>
      <c r="CR11" s="772"/>
      <c r="CS11" s="671"/>
      <c r="CT11" s="670">
        <v>2022</v>
      </c>
      <c r="CU11" s="772"/>
      <c r="CV11" s="671"/>
      <c r="CW11" s="670">
        <v>2023</v>
      </c>
      <c r="CX11" s="772"/>
      <c r="CY11" s="671"/>
      <c r="CZ11" s="670">
        <v>2022</v>
      </c>
      <c r="DA11" s="772"/>
      <c r="DB11" s="671"/>
      <c r="DC11" s="670">
        <v>2023</v>
      </c>
      <c r="DD11" s="772"/>
      <c r="DE11" s="671"/>
      <c r="DF11" s="670">
        <v>2022</v>
      </c>
      <c r="DG11" s="671"/>
      <c r="DH11" s="772">
        <v>2023</v>
      </c>
      <c r="DI11" s="671"/>
      <c r="DJ11" s="670">
        <v>2022</v>
      </c>
      <c r="DK11" s="671"/>
      <c r="DL11" s="670">
        <v>2023</v>
      </c>
      <c r="DM11" s="671"/>
      <c r="DN11" s="754" t="s">
        <v>336</v>
      </c>
      <c r="DO11" s="777"/>
      <c r="DP11" s="777"/>
    </row>
    <row r="12" spans="1:121" ht="20.100000000000001" customHeight="1">
      <c r="B12" s="778"/>
      <c r="C12" s="778"/>
      <c r="D12" s="298" t="s">
        <v>655</v>
      </c>
      <c r="E12" s="380" t="s">
        <v>241</v>
      </c>
      <c r="F12" s="380" t="s">
        <v>337</v>
      </c>
      <c r="G12" s="298" t="s">
        <v>655</v>
      </c>
      <c r="H12" s="380" t="s">
        <v>241</v>
      </c>
      <c r="I12" s="380" t="s">
        <v>337</v>
      </c>
      <c r="J12" s="298" t="s">
        <v>655</v>
      </c>
      <c r="K12" s="380" t="s">
        <v>241</v>
      </c>
      <c r="L12" s="380" t="s">
        <v>337</v>
      </c>
      <c r="M12" s="298" t="s">
        <v>655</v>
      </c>
      <c r="N12" s="380" t="s">
        <v>241</v>
      </c>
      <c r="O12" s="380" t="s">
        <v>337</v>
      </c>
      <c r="P12" s="298" t="s">
        <v>655</v>
      </c>
      <c r="Q12" s="380" t="s">
        <v>241</v>
      </c>
      <c r="R12" s="380" t="s">
        <v>337</v>
      </c>
      <c r="S12" s="298" t="s">
        <v>655</v>
      </c>
      <c r="T12" s="380" t="s">
        <v>241</v>
      </c>
      <c r="U12" s="380" t="s">
        <v>337</v>
      </c>
      <c r="V12" s="380" t="s">
        <v>337</v>
      </c>
      <c r="W12" s="380" t="s">
        <v>241</v>
      </c>
      <c r="X12" s="380" t="s">
        <v>337</v>
      </c>
      <c r="Y12" s="380" t="s">
        <v>241</v>
      </c>
      <c r="Z12" s="298" t="s">
        <v>655</v>
      </c>
      <c r="AA12" s="380" t="s">
        <v>241</v>
      </c>
      <c r="AB12" s="380" t="s">
        <v>337</v>
      </c>
      <c r="AC12" s="298" t="s">
        <v>655</v>
      </c>
      <c r="AD12" s="380" t="s">
        <v>241</v>
      </c>
      <c r="AE12" s="380" t="s">
        <v>337</v>
      </c>
      <c r="AF12" s="298" t="s">
        <v>655</v>
      </c>
      <c r="AG12" s="380" t="s">
        <v>241</v>
      </c>
      <c r="AH12" s="380" t="s">
        <v>337</v>
      </c>
      <c r="AI12" s="298" t="s">
        <v>655</v>
      </c>
      <c r="AJ12" s="380" t="s">
        <v>241</v>
      </c>
      <c r="AK12" s="380" t="s">
        <v>337</v>
      </c>
      <c r="AL12" s="298" t="s">
        <v>655</v>
      </c>
      <c r="AM12" s="380" t="s">
        <v>241</v>
      </c>
      <c r="AN12" s="380" t="s">
        <v>337</v>
      </c>
      <c r="AO12" s="298" t="s">
        <v>655</v>
      </c>
      <c r="AP12" s="380" t="s">
        <v>241</v>
      </c>
      <c r="AQ12" s="380" t="s">
        <v>337</v>
      </c>
      <c r="AR12" s="380" t="s">
        <v>337</v>
      </c>
      <c r="AS12" s="380" t="s">
        <v>241</v>
      </c>
      <c r="AT12" s="380" t="s">
        <v>337</v>
      </c>
      <c r="AU12" s="380" t="s">
        <v>241</v>
      </c>
      <c r="AV12" s="298" t="s">
        <v>655</v>
      </c>
      <c r="AW12" s="380" t="s">
        <v>241</v>
      </c>
      <c r="AX12" s="380" t="s">
        <v>337</v>
      </c>
      <c r="AY12" s="298" t="s">
        <v>655</v>
      </c>
      <c r="AZ12" s="380" t="s">
        <v>241</v>
      </c>
      <c r="BA12" s="380" t="s">
        <v>337</v>
      </c>
      <c r="BB12" s="298" t="s">
        <v>675</v>
      </c>
      <c r="BC12" s="380" t="s">
        <v>241</v>
      </c>
      <c r="BD12" s="380" t="s">
        <v>337</v>
      </c>
      <c r="BE12" s="298" t="s">
        <v>675</v>
      </c>
      <c r="BF12" s="380" t="s">
        <v>241</v>
      </c>
      <c r="BG12" s="380" t="s">
        <v>337</v>
      </c>
      <c r="BH12" s="298" t="s">
        <v>675</v>
      </c>
      <c r="BI12" s="380" t="s">
        <v>241</v>
      </c>
      <c r="BJ12" s="380" t="s">
        <v>337</v>
      </c>
      <c r="BK12" s="298" t="s">
        <v>675</v>
      </c>
      <c r="BL12" s="380" t="s">
        <v>241</v>
      </c>
      <c r="BM12" s="380" t="s">
        <v>337</v>
      </c>
      <c r="BN12" s="380" t="s">
        <v>337</v>
      </c>
      <c r="BO12" s="380" t="s">
        <v>241</v>
      </c>
      <c r="BP12" s="380" t="s">
        <v>337</v>
      </c>
      <c r="BQ12" s="380" t="s">
        <v>241</v>
      </c>
      <c r="BR12" s="298" t="s">
        <v>655</v>
      </c>
      <c r="BS12" s="380" t="s">
        <v>241</v>
      </c>
      <c r="BT12" s="380" t="s">
        <v>337</v>
      </c>
      <c r="BU12" s="298" t="s">
        <v>655</v>
      </c>
      <c r="BV12" s="380" t="s">
        <v>241</v>
      </c>
      <c r="BW12" s="380" t="s">
        <v>337</v>
      </c>
      <c r="BX12" s="298" t="s">
        <v>655</v>
      </c>
      <c r="BY12" s="380" t="s">
        <v>241</v>
      </c>
      <c r="BZ12" s="380" t="s">
        <v>337</v>
      </c>
      <c r="CA12" s="298" t="s">
        <v>655</v>
      </c>
      <c r="CB12" s="380" t="s">
        <v>241</v>
      </c>
      <c r="CC12" s="380" t="s">
        <v>337</v>
      </c>
      <c r="CD12" s="298" t="s">
        <v>655</v>
      </c>
      <c r="CE12" s="380" t="s">
        <v>241</v>
      </c>
      <c r="CF12" s="380" t="s">
        <v>337</v>
      </c>
      <c r="CG12" s="298" t="s">
        <v>655</v>
      </c>
      <c r="CH12" s="380" t="s">
        <v>241</v>
      </c>
      <c r="CI12" s="380" t="s">
        <v>337</v>
      </c>
      <c r="CJ12" s="380" t="s">
        <v>337</v>
      </c>
      <c r="CK12" s="380" t="s">
        <v>241</v>
      </c>
      <c r="CL12" s="380" t="s">
        <v>337</v>
      </c>
      <c r="CM12" s="380" t="s">
        <v>241</v>
      </c>
      <c r="CN12" s="298" t="s">
        <v>655</v>
      </c>
      <c r="CO12" s="380" t="s">
        <v>241</v>
      </c>
      <c r="CP12" s="380" t="s">
        <v>337</v>
      </c>
      <c r="CQ12" s="298" t="s">
        <v>655</v>
      </c>
      <c r="CR12" s="380" t="s">
        <v>241</v>
      </c>
      <c r="CS12" s="380" t="s">
        <v>337</v>
      </c>
      <c r="CT12" s="298" t="s">
        <v>655</v>
      </c>
      <c r="CU12" s="380" t="s">
        <v>241</v>
      </c>
      <c r="CV12" s="380" t="s">
        <v>337</v>
      </c>
      <c r="CW12" s="298" t="s">
        <v>655</v>
      </c>
      <c r="CX12" s="380" t="s">
        <v>241</v>
      </c>
      <c r="CY12" s="380" t="s">
        <v>337</v>
      </c>
      <c r="CZ12" s="298" t="s">
        <v>655</v>
      </c>
      <c r="DA12" s="380" t="s">
        <v>241</v>
      </c>
      <c r="DB12" s="380" t="s">
        <v>337</v>
      </c>
      <c r="DC12" s="298" t="s">
        <v>655</v>
      </c>
      <c r="DD12" s="380" t="s">
        <v>241</v>
      </c>
      <c r="DE12" s="380" t="s">
        <v>337</v>
      </c>
      <c r="DF12" s="380" t="s">
        <v>337</v>
      </c>
      <c r="DG12" s="380" t="s">
        <v>241</v>
      </c>
      <c r="DH12" s="380" t="s">
        <v>337</v>
      </c>
      <c r="DI12" s="380" t="s">
        <v>241</v>
      </c>
      <c r="DJ12" s="299" t="s">
        <v>337</v>
      </c>
      <c r="DK12" s="300" t="s">
        <v>241</v>
      </c>
      <c r="DL12" s="299" t="s">
        <v>337</v>
      </c>
      <c r="DM12" s="300" t="s">
        <v>241</v>
      </c>
      <c r="DN12" s="755"/>
      <c r="DO12" s="778"/>
      <c r="DP12" s="778"/>
    </row>
    <row r="13" spans="1:121" s="445" customFormat="1" ht="15" customHeight="1">
      <c r="B13" s="301" t="s">
        <v>5</v>
      </c>
      <c r="C13" s="302" t="s">
        <v>338</v>
      </c>
      <c r="D13" s="303">
        <v>0</v>
      </c>
      <c r="E13" s="304">
        <f>RANK(D13,$D$13:$D$42,0)</f>
        <v>13</v>
      </c>
      <c r="F13" s="305">
        <f>MATCH(D13,F$46:F$50,1)</f>
        <v>1</v>
      </c>
      <c r="G13" s="306">
        <v>0</v>
      </c>
      <c r="H13" s="307">
        <f>RANK(G13,$G$13:$G$42,0)</f>
        <v>15</v>
      </c>
      <c r="I13" s="386">
        <f>MATCH(G13,I$46:I$50,1)</f>
        <v>1</v>
      </c>
      <c r="J13" s="303">
        <v>0</v>
      </c>
      <c r="K13" s="304">
        <f>RANK(J13,$J$13:$J$42,0)</f>
        <v>9</v>
      </c>
      <c r="L13" s="305">
        <f>MATCH(J13,L$46:L$50,1)</f>
        <v>1</v>
      </c>
      <c r="M13" s="309">
        <v>0</v>
      </c>
      <c r="N13" s="307">
        <f>RANK(M13,$M$13:$M$42,0)</f>
        <v>13</v>
      </c>
      <c r="O13" s="308">
        <f>MATCH(M13,O$46:O$50,1)</f>
        <v>1</v>
      </c>
      <c r="P13" s="303">
        <v>0</v>
      </c>
      <c r="Q13" s="304">
        <f>RANK(P13,$P$13:$P$42,0)</f>
        <v>6</v>
      </c>
      <c r="R13" s="305">
        <f>MATCH(P13,R$46:R$50,1)</f>
        <v>1</v>
      </c>
      <c r="S13" s="309">
        <v>0</v>
      </c>
      <c r="T13" s="307">
        <f t="shared" ref="T13:T42" si="8">RANK(S13,$S$13:$S$42,0)</f>
        <v>9</v>
      </c>
      <c r="U13" s="308">
        <f t="shared" ref="U13:U42" si="9">MATCH(S13,U$46:U$50,1)</f>
        <v>1</v>
      </c>
      <c r="V13" s="308">
        <f>SUMIFS($D13:U13,$D$6:U$6,V$12,$D$7:U$7,V$7,$D$5:U$5,V$5,$D$4:U$4,"&lt;&gt;"&amp;V$4)</f>
        <v>3</v>
      </c>
      <c r="W13" s="308">
        <f>RANK(V13,V$13:V$42,0)</f>
        <v>15</v>
      </c>
      <c r="X13" s="308">
        <f>SUMIFS($D13:W13,$D$6:W$6,X$12,$D$7:W$7,X$7,$D$5:W$5,X$5,$D$4:W$4,"&lt;&gt;"&amp;X$4)</f>
        <v>3</v>
      </c>
      <c r="Y13" s="308">
        <f>RANK(X13,X$13:X$42,0)</f>
        <v>15</v>
      </c>
      <c r="Z13" s="303">
        <v>0</v>
      </c>
      <c r="AA13" s="304">
        <f>RANK(Z13,$Z$13:$Z$42,0)</f>
        <v>11</v>
      </c>
      <c r="AB13" s="305">
        <f>MATCH(Z13,AB$46:AB$50,1)</f>
        <v>1</v>
      </c>
      <c r="AC13" s="306">
        <v>0</v>
      </c>
      <c r="AD13" s="307">
        <f>RANK(AC13,$AC$13:$AC$42,0)</f>
        <v>11</v>
      </c>
      <c r="AE13" s="308">
        <f>MATCH(AC13,AE$46:AE$50,1)</f>
        <v>1</v>
      </c>
      <c r="AF13" s="303">
        <v>0</v>
      </c>
      <c r="AG13" s="304">
        <f t="shared" ref="AG13:AG42" si="10">RANK(AF13,$AF$13:$AF$42,0)</f>
        <v>10</v>
      </c>
      <c r="AH13" s="305">
        <f>MATCH(AF13,AH$46:AH$50,1)</f>
        <v>1</v>
      </c>
      <c r="AI13" s="310">
        <v>0</v>
      </c>
      <c r="AJ13" s="307">
        <f t="shared" ref="AJ13:AJ42" si="11">RANK(AI13,$AI$13:$AI$42,0)</f>
        <v>10</v>
      </c>
      <c r="AK13" s="308">
        <f>MATCH(AI13,AK$46:AK$50,1)</f>
        <v>1</v>
      </c>
      <c r="AL13" s="303">
        <v>0</v>
      </c>
      <c r="AM13" s="304">
        <f>RANK(AL13,$AL$13:$AL$42,0)</f>
        <v>9</v>
      </c>
      <c r="AN13" s="305">
        <f>MATCH(AL13,AN$46:AN$50,1)</f>
        <v>1</v>
      </c>
      <c r="AO13" s="446"/>
      <c r="AP13" s="446"/>
      <c r="AQ13" s="447"/>
      <c r="AR13" s="308">
        <f>SUMIFS($D13:AQ13,$D$6:AQ$6,AR$12,$D$7:AQ$7,AR$7,$D$5:AQ$5,AR$5,$D$4:AQ$4,"&lt;&gt;"&amp;AR$4)</f>
        <v>3</v>
      </c>
      <c r="AS13" s="308">
        <f>RANK(AR13,AR$13:AR$42,0)</f>
        <v>14</v>
      </c>
      <c r="AT13" s="308">
        <f>SUMIFS($D13:AS13,$D$6:AS$6,AT$12,$D$7:AS$7,AT$7,$D$5:AS$5,AT$5,$D$4:AS$4,"&lt;&gt;"&amp;AT$4)</f>
        <v>2</v>
      </c>
      <c r="AU13" s="308">
        <f>RANK(AT13,AT$13:AT$42,0)</f>
        <v>10</v>
      </c>
      <c r="AV13" s="303">
        <v>257.89860396767085</v>
      </c>
      <c r="AW13" s="304">
        <f>RANK(AV13,$AV$13:$AV$42,0)</f>
        <v>10</v>
      </c>
      <c r="AX13" s="305">
        <f>MATCH(AV13,AX$46:AX$50,1)</f>
        <v>2</v>
      </c>
      <c r="AY13" s="306">
        <v>120</v>
      </c>
      <c r="AZ13" s="307">
        <f>RANK(AY13,$AY$13:$AY$42,0)</f>
        <v>11</v>
      </c>
      <c r="BA13" s="308">
        <f>MATCH(AY13,BA$46:BA$50,1)</f>
        <v>2</v>
      </c>
      <c r="BB13" s="303">
        <v>0</v>
      </c>
      <c r="BC13" s="304">
        <f>RANK(BB13,$BB$13:$BB$42,0)</f>
        <v>8</v>
      </c>
      <c r="BD13" s="305">
        <f>MATCH(BB13,BD$46:BD$50,1)</f>
        <v>1</v>
      </c>
      <c r="BE13" s="310">
        <v>0</v>
      </c>
      <c r="BF13" s="307">
        <f>RANK(BE13,$BE$13:$BE$42,0)</f>
        <v>8</v>
      </c>
      <c r="BG13" s="308">
        <f>MATCH(BE13,BG$46:BG$50,1)</f>
        <v>1</v>
      </c>
      <c r="BH13" s="303">
        <v>0</v>
      </c>
      <c r="BI13" s="304">
        <f>RANK(BH13,$BH$13:$BH$42,0)</f>
        <v>9</v>
      </c>
      <c r="BJ13" s="305" cm="1">
        <f t="array" ref="BJ13">_xlfn.IFS(BH13&lt;BH$47, 1, BH13&lt;BH$48,2,BH13&lt;BH$49,3,BH13&lt;BH$50,4,BH13&gt;=BH$50,5)</f>
        <v>1</v>
      </c>
      <c r="BK13" s="309">
        <v>0</v>
      </c>
      <c r="BL13" s="307">
        <f>RANK(BK13,$BK$13:$BK$42,0)</f>
        <v>7</v>
      </c>
      <c r="BM13" s="308">
        <f>MATCH(BK13,BM$46:BM$50,1)</f>
        <v>1</v>
      </c>
      <c r="BN13" s="308">
        <f>SUMIFS($D13:BM13,$D$6:BM$6,BN$12,$D$7:BM$7,BN$7,$D$5:BM$5,BN$5,$D$4:BM$4,"&lt;&gt;"&amp;BN$4)</f>
        <v>4</v>
      </c>
      <c r="BO13" s="308">
        <f>RANK(BN13,BN$13:BN$42,0)</f>
        <v>11</v>
      </c>
      <c r="BP13" s="308">
        <f>SUMIFS($D13:BO13,$D$6:BO$6,BP$12,$D$7:BO$7,BP$7,$D$5:BO$5,BP$5,$D$4:BO$4,"&lt;&gt;"&amp;BP$4)</f>
        <v>4</v>
      </c>
      <c r="BQ13" s="308">
        <f>RANK(BP13,BP$13:BP$42,0)</f>
        <v>11</v>
      </c>
      <c r="BR13" s="303">
        <v>0</v>
      </c>
      <c r="BS13" s="304">
        <f>RANK(BR13,$BR$13:$BR$42,0)</f>
        <v>7</v>
      </c>
      <c r="BT13" s="305">
        <f>MATCH(BR13,BT$46:BT$50,1)</f>
        <v>1</v>
      </c>
      <c r="BU13" s="306">
        <v>1927</v>
      </c>
      <c r="BV13" s="307">
        <f>RANK(BU13,$BU$13:$BU$42,0)</f>
        <v>9</v>
      </c>
      <c r="BW13" s="308">
        <f>MATCH(BU13,BW$46:BW$50,1)</f>
        <v>2</v>
      </c>
      <c r="BX13" s="303">
        <v>0</v>
      </c>
      <c r="BY13" s="304">
        <f>RANK(BX13,$BX$13:$BX$42,0)</f>
        <v>10</v>
      </c>
      <c r="BZ13" s="305">
        <f>MATCH(BX13,BZ$46:BZ$50,1)</f>
        <v>1</v>
      </c>
      <c r="CA13" s="306">
        <v>0</v>
      </c>
      <c r="CB13" s="307">
        <f>RANK(CA13,$CA$13:$CA$42,0)</f>
        <v>11</v>
      </c>
      <c r="CC13" s="308">
        <f>MATCH(CA13,CC$46:CC$50,1)</f>
        <v>1</v>
      </c>
      <c r="CD13" s="303">
        <v>0</v>
      </c>
      <c r="CE13" s="304">
        <f>RANK(CD13,$CD$13:$CD$42,0)</f>
        <v>5</v>
      </c>
      <c r="CF13" s="305">
        <f>MATCH(CD13,CF$46:CF$50,1)</f>
        <v>1</v>
      </c>
      <c r="CG13" s="310">
        <v>0</v>
      </c>
      <c r="CH13" s="307">
        <f>RANK(CG13,$CG$13:$CG$42,0)</f>
        <v>5</v>
      </c>
      <c r="CI13" s="308">
        <f>MATCH(CG13,CI$46:CI$50,1)</f>
        <v>1</v>
      </c>
      <c r="CJ13" s="308">
        <f>SUMIFS($D13:CI13,$D$6:CI$6,CJ$12,$D$7:CI$7,CJ$7,$D$5:CI$5,CJ$5,$D$4:CI$4,"&lt;&gt;"&amp;CJ$4)</f>
        <v>3</v>
      </c>
      <c r="CK13" s="308">
        <f>RANK(CJ13,CJ$13:CJ$42,0)</f>
        <v>12</v>
      </c>
      <c r="CL13" s="308">
        <f>SUMIFS($D13:CK13,$D$6:CK$6,CL$12,$D$7:CK$7,CL$7,$D$5:CK$5,CL$5,$D$4:CK$4,"&lt;&gt;"&amp;CL$4)</f>
        <v>4</v>
      </c>
      <c r="CM13" s="308">
        <f>RANK(CL13,CL$13:CL$42,0)</f>
        <v>11</v>
      </c>
      <c r="CN13" s="303">
        <v>0</v>
      </c>
      <c r="CO13" s="304">
        <f>RANK(CN13,$CN$13:$CN$42,0)</f>
        <v>8</v>
      </c>
      <c r="CP13" s="305">
        <f>MATCH(CN13,CP$46:CP$50,1)</f>
        <v>1</v>
      </c>
      <c r="CQ13" s="306">
        <v>0</v>
      </c>
      <c r="CR13" s="307">
        <f>RANK(CQ13,$CQ$13:$CQ$42,0)</f>
        <v>11</v>
      </c>
      <c r="CS13" s="308">
        <f>MATCH(CQ13,CS$46:CS$50,1)</f>
        <v>1</v>
      </c>
      <c r="CT13" s="303">
        <v>0</v>
      </c>
      <c r="CU13" s="304">
        <f t="shared" ref="CU13:CU42" si="12">RANK(CT13,$CT$13:$CT$42,0)</f>
        <v>12</v>
      </c>
      <c r="CV13" s="305">
        <f>MATCH(CT13,CV$46:CV$50,1)</f>
        <v>1</v>
      </c>
      <c r="CW13" s="310">
        <v>0</v>
      </c>
      <c r="CX13" s="307">
        <f t="shared" ref="CX13:CX42" si="13">RANK(CW13,$CW$13:$CW$42,0)</f>
        <v>13</v>
      </c>
      <c r="CY13" s="308">
        <f>MATCH(CW13,CY$46:CY$50,1)</f>
        <v>1</v>
      </c>
      <c r="CZ13" s="303">
        <v>0</v>
      </c>
      <c r="DA13" s="304">
        <f t="shared" ref="DA13:DA15" si="14">RANK(CZ13,$CZ$13:$CZ$42,0)</f>
        <v>8</v>
      </c>
      <c r="DB13" s="305">
        <f>MATCH(CZ13,DB$46:DB$50,1)</f>
        <v>1</v>
      </c>
      <c r="DC13" s="310">
        <v>0</v>
      </c>
      <c r="DD13" s="307">
        <f t="shared" ref="DD13:DD42" si="15">RANK(DC13,$DC$13:$DC$42,0)</f>
        <v>8</v>
      </c>
      <c r="DE13" s="308">
        <f>MATCH(DC13,DE$46:DE$50,1)</f>
        <v>1</v>
      </c>
      <c r="DF13" s="308">
        <f>SUMIFS($D13:DE13,$D$6:DE$6,DF$12,$D$7:DE$7,DF$7,$D$5:DE$5,DF$5,$D$4:DE$4,"&lt;&gt;"&amp;DF$4)</f>
        <v>3</v>
      </c>
      <c r="DG13" s="308">
        <f>RANK(DF13,DF$13:DF$42,0)</f>
        <v>13</v>
      </c>
      <c r="DH13" s="308">
        <f>SUMIFS($D13:DG13,$D$6:DG$6,DH$12,$D$7:DG$7,DH$7,$D$5:DG$5,DH$5,$D$4:DG$4,"&lt;&gt;"&amp;DH$4)</f>
        <v>3</v>
      </c>
      <c r="DI13" s="308">
        <f>RANK(DH13,DH$13:DH$42,0)</f>
        <v>14</v>
      </c>
      <c r="DJ13" s="311" cm="1">
        <f t="array" aca="1" ref="DJ13" ca="1">ROUNDUP(SUMPRODUCT(--($D$7:$DI$7=DJ$7),$D13:$DI13,$D$3:$DI$3),3)</f>
        <v>3.2</v>
      </c>
      <c r="DK13" s="305">
        <v>23</v>
      </c>
      <c r="DL13" s="312" cm="1">
        <f t="array" aca="1" ref="DL13" ca="1">ROUNDUP(SUMPRODUCT(--($D$7:$DI$7=DL$7),$D13:$DI13,$D$3:$DI$3),3)</f>
        <v>3.2</v>
      </c>
      <c r="DM13" s="313">
        <f ca="1">RANK(DL13,DL$13:DL$42,0)</f>
        <v>20</v>
      </c>
      <c r="DN13" s="448">
        <f t="shared" ref="DN13:DN42" ca="1" si="16">DK13-DM13</f>
        <v>3</v>
      </c>
      <c r="DO13" s="302" t="s">
        <v>338</v>
      </c>
      <c r="DP13" s="314" t="s">
        <v>5</v>
      </c>
      <c r="DQ13" s="633"/>
    </row>
    <row r="14" spans="1:121" s="445" customFormat="1" ht="15" customHeight="1">
      <c r="B14" s="315" t="s">
        <v>5</v>
      </c>
      <c r="C14" s="316" t="s">
        <v>83</v>
      </c>
      <c r="D14" s="317">
        <v>100</v>
      </c>
      <c r="E14" s="305">
        <f t="shared" ref="E14:E15" si="17">RANK(D14,$D$13:$D$42,0)</f>
        <v>6</v>
      </c>
      <c r="F14" s="305">
        <f t="shared" ref="F14:F42" si="18">MATCH(D14,F$46:F$50,1)</f>
        <v>3</v>
      </c>
      <c r="G14" s="318">
        <v>100</v>
      </c>
      <c r="H14" s="307">
        <f t="shared" ref="H14:H15" si="19">RANK(G14,$G$13:$G$42,0)</f>
        <v>7</v>
      </c>
      <c r="I14" s="386">
        <f t="shared" ref="I14:I42" si="20">MATCH(G14,I$46:I$50,1)</f>
        <v>3</v>
      </c>
      <c r="J14" s="317">
        <v>2.8</v>
      </c>
      <c r="K14" s="305">
        <f t="shared" ref="K14:K15" si="21">RANK(J14,$J$13:$J$42,0)</f>
        <v>5</v>
      </c>
      <c r="L14" s="305">
        <f t="shared" ref="L14:L42" si="22">MATCH(J14,L$46:L$50,1)</f>
        <v>3</v>
      </c>
      <c r="M14" s="319">
        <v>2.8</v>
      </c>
      <c r="N14" s="307">
        <f t="shared" ref="N14:N15" si="23">RANK(M14,$M$13:$M$42,0)</f>
        <v>6</v>
      </c>
      <c r="O14" s="308">
        <f t="shared" ref="O14:O42" si="24">MATCH(M14,O$46:O$50,1)</f>
        <v>4</v>
      </c>
      <c r="P14" s="317">
        <v>14.9</v>
      </c>
      <c r="Q14" s="305">
        <f t="shared" ref="Q14:Q15" si="25">RANK(P14,$P$13:$P$42,0)</f>
        <v>2</v>
      </c>
      <c r="R14" s="305">
        <f t="shared" ref="R14:R42" si="26">MATCH(P14,R$46:R$50,1)</f>
        <v>4</v>
      </c>
      <c r="S14" s="319">
        <v>72.010000000000005</v>
      </c>
      <c r="T14" s="307">
        <f t="shared" si="8"/>
        <v>2</v>
      </c>
      <c r="U14" s="308">
        <f t="shared" si="9"/>
        <v>4</v>
      </c>
      <c r="V14" s="308">
        <f>SUMIFS($D14:U14,$D$6:U$6,V$12,$D$7:U$7,V$7,$D$5:U$5,V$5,$D$4:U$4,"&lt;&gt;"&amp;V$4)</f>
        <v>10</v>
      </c>
      <c r="W14" s="308">
        <f t="shared" ref="W14:Y42" si="27">RANK(V14,V$13:V$42,0)</f>
        <v>4</v>
      </c>
      <c r="X14" s="308">
        <f>SUMIFS($D14:W14,$D$6:W$6,X$12,$D$7:W$7,X$7,$D$5:W$5,X$5,$D$4:W$4,"&lt;&gt;"&amp;X$4)</f>
        <v>11</v>
      </c>
      <c r="Y14" s="308">
        <f t="shared" si="27"/>
        <v>5</v>
      </c>
      <c r="Z14" s="317">
        <v>0</v>
      </c>
      <c r="AA14" s="305">
        <f t="shared" ref="AA14:AA15" si="28">RANK(Z14,$Z$13:$Z$42,0)</f>
        <v>11</v>
      </c>
      <c r="AB14" s="305">
        <f t="shared" ref="AB14:AB42" si="29">MATCH(Z14,AB$46:AB$50,1)</f>
        <v>1</v>
      </c>
      <c r="AC14" s="318">
        <v>0</v>
      </c>
      <c r="AD14" s="307">
        <f t="shared" ref="AD14:AD42" si="30">RANK(AC14,$AC$13:$AC$42,0)</f>
        <v>11</v>
      </c>
      <c r="AE14" s="308">
        <f t="shared" ref="AE14:AE42" si="31">MATCH(AC14,AE$46:AE$50,1)</f>
        <v>1</v>
      </c>
      <c r="AF14" s="317">
        <v>0</v>
      </c>
      <c r="AG14" s="305">
        <f t="shared" si="10"/>
        <v>10</v>
      </c>
      <c r="AH14" s="305">
        <f t="shared" ref="AH14:AH42" si="32">MATCH(AF14,AH$46:AH$50,1)</f>
        <v>1</v>
      </c>
      <c r="AI14" s="320">
        <v>0</v>
      </c>
      <c r="AJ14" s="307">
        <f t="shared" si="11"/>
        <v>10</v>
      </c>
      <c r="AK14" s="308">
        <f t="shared" ref="AK14:AK42" si="33">MATCH(AI14,AK$46:AK$50,1)</f>
        <v>1</v>
      </c>
      <c r="AL14" s="317">
        <v>0</v>
      </c>
      <c r="AM14" s="305">
        <f t="shared" ref="AM14:AM42" si="34">RANK(AL14,$AL$13:$AL$42,0)</f>
        <v>9</v>
      </c>
      <c r="AN14" s="305">
        <f t="shared" ref="AN14:AN42" si="35">MATCH(AL14,AN$46:AN$50,1)</f>
        <v>1</v>
      </c>
      <c r="AO14" s="449"/>
      <c r="AP14" s="449"/>
      <c r="AQ14" s="450"/>
      <c r="AR14" s="308">
        <f>SUMIFS($D14:AQ14,$D$6:AQ$6,AR$12,$D$7:AQ$7,AR$7,$D$5:AQ$5,AR$5,$D$4:AQ$4,"&lt;&gt;"&amp;AR$4)</f>
        <v>3</v>
      </c>
      <c r="AS14" s="308">
        <f t="shared" ref="AS14:AU42" si="36">RANK(AR14,AR$13:AR$42,0)</f>
        <v>14</v>
      </c>
      <c r="AT14" s="308">
        <f>SUMIFS($D14:AS14,$D$6:AS$6,AT$12,$D$7:AS$7,AT$7,$D$5:AS$5,AT$5,$D$4:AS$4,"&lt;&gt;"&amp;AT$4)</f>
        <v>2</v>
      </c>
      <c r="AU14" s="308">
        <f t="shared" si="36"/>
        <v>10</v>
      </c>
      <c r="AV14" s="317">
        <v>9.9191770756796469</v>
      </c>
      <c r="AW14" s="305">
        <f t="shared" ref="AW14:AW42" si="37">RANK(AV14,$AV$13:$AV$42,0)</f>
        <v>12</v>
      </c>
      <c r="AX14" s="305">
        <f t="shared" ref="AX14:AX42" si="38">MATCH(AV14,AX$46:AX$50,1)</f>
        <v>1</v>
      </c>
      <c r="AY14" s="318">
        <v>54</v>
      </c>
      <c r="AZ14" s="307">
        <f t="shared" ref="AZ14:AZ42" si="39">RANK(AY14,$AY$13:$AY$42,0)</f>
        <v>13</v>
      </c>
      <c r="BA14" s="308">
        <f t="shared" ref="BA14:BA42" si="40">MATCH(AY14,BA$46:BA$50,1)</f>
        <v>1</v>
      </c>
      <c r="BB14" s="317">
        <v>0</v>
      </c>
      <c r="BC14" s="305">
        <f t="shared" ref="BC14:BC42" si="41">RANK(BB14,$BB$13:$BB$42,0)</f>
        <v>8</v>
      </c>
      <c r="BD14" s="305">
        <f t="shared" ref="BD14:BD42" si="42">MATCH(BB14,BD$46:BD$50,1)</f>
        <v>1</v>
      </c>
      <c r="BE14" s="320">
        <v>0</v>
      </c>
      <c r="BF14" s="307">
        <f t="shared" ref="BF14:BF42" si="43">RANK(BE14,$BE$13:$BE$42,0)</f>
        <v>8</v>
      </c>
      <c r="BG14" s="308">
        <f t="shared" ref="BG14:BG42" si="44">MATCH(BE14,BG$46:BG$50,1)</f>
        <v>1</v>
      </c>
      <c r="BH14" s="317">
        <v>0</v>
      </c>
      <c r="BI14" s="305">
        <f t="shared" ref="BI14:BI42" si="45">RANK(BH14,$BH$13:$BH$42,0)</f>
        <v>9</v>
      </c>
      <c r="BJ14" s="305" cm="1">
        <f t="array" ref="BJ14">_xlfn.IFS(BH14&lt;BH$47, 1, BH14&lt;BH$48,2,BH14&lt;BH$49,3,BH14&lt;BH$50,4,BH14&gt;=BH$50,5)</f>
        <v>1</v>
      </c>
      <c r="BK14" s="319">
        <v>0</v>
      </c>
      <c r="BL14" s="307">
        <f t="shared" ref="BL14:BL20" si="46">RANK(BK14,$BK$13:$BK$42,0)</f>
        <v>7</v>
      </c>
      <c r="BM14" s="308">
        <f t="shared" ref="BM14:BM42" si="47">MATCH(BK14,BM$46:BM$50,1)</f>
        <v>1</v>
      </c>
      <c r="BN14" s="308">
        <f>SUMIFS($D14:BM14,$D$6:BM$6,BN$12,$D$7:BM$7,BN$7,$D$5:BM$5,BN$5,$D$4:BM$4,"&lt;&gt;"&amp;BN$4)</f>
        <v>3</v>
      </c>
      <c r="BO14" s="308">
        <f t="shared" ref="BO14" si="48">RANK(BN14,BN$13:BN$42,0)</f>
        <v>14</v>
      </c>
      <c r="BP14" s="308">
        <f>SUMIFS($D14:BO14,$D$6:BO$6,BP$12,$D$7:BO$7,BP$7,$D$5:BO$5,BP$5,$D$4:BO$4,"&lt;&gt;"&amp;BP$4)</f>
        <v>3</v>
      </c>
      <c r="BQ14" s="308">
        <f t="shared" ref="BQ14" si="49">RANK(BP14,BP$13:BP$42,0)</f>
        <v>13</v>
      </c>
      <c r="BR14" s="317">
        <v>0</v>
      </c>
      <c r="BS14" s="305">
        <f t="shared" ref="BS14:BS42" si="50">RANK(BR14,$BR$13:$BR$42,0)</f>
        <v>7</v>
      </c>
      <c r="BT14" s="305">
        <f t="shared" ref="BT14:BT42" si="51">MATCH(BR14,BT$46:BT$50,1)</f>
        <v>1</v>
      </c>
      <c r="BU14" s="318">
        <v>0</v>
      </c>
      <c r="BV14" s="307">
        <f t="shared" ref="BV14:BV42" si="52">RANK(BU14,$BU$13:$BU$42,0)</f>
        <v>10</v>
      </c>
      <c r="BW14" s="308">
        <f t="shared" ref="BW14:BW42" si="53">MATCH(BU14,BW$46:BW$50,1)</f>
        <v>1</v>
      </c>
      <c r="BX14" s="317">
        <v>0</v>
      </c>
      <c r="BY14" s="305">
        <f t="shared" ref="BY14:BY42" si="54">RANK(BX14,$BX$13:$BX$42,0)</f>
        <v>10</v>
      </c>
      <c r="BZ14" s="305">
        <f t="shared" ref="BZ14:BZ42" si="55">MATCH(BX14,BZ$46:BZ$50,1)</f>
        <v>1</v>
      </c>
      <c r="CA14" s="318">
        <v>0</v>
      </c>
      <c r="CB14" s="307">
        <f t="shared" ref="CB14:CB42" si="56">RANK(CA14,$CA$13:$CA$42,0)</f>
        <v>11</v>
      </c>
      <c r="CC14" s="308">
        <f t="shared" ref="CC14:CC42" si="57">MATCH(CA14,CC$46:CC$50,1)</f>
        <v>1</v>
      </c>
      <c r="CD14" s="317">
        <v>0</v>
      </c>
      <c r="CE14" s="305">
        <f t="shared" ref="CE14:CE42" si="58">RANK(CD14,$CD$13:$CD$42,0)</f>
        <v>5</v>
      </c>
      <c r="CF14" s="305">
        <f t="shared" ref="CF14:CF42" si="59">MATCH(CD14,CF$46:CF$50,1)</f>
        <v>1</v>
      </c>
      <c r="CG14" s="320">
        <v>0</v>
      </c>
      <c r="CH14" s="307">
        <f t="shared" ref="CH14:CH42" si="60">RANK(CG14,$CG$13:$CG$42,0)</f>
        <v>5</v>
      </c>
      <c r="CI14" s="308">
        <f t="shared" ref="CI14:CI42" si="61">MATCH(CG14,CI$46:CI$50,1)</f>
        <v>1</v>
      </c>
      <c r="CJ14" s="308">
        <f>SUMIFS($D14:CI14,$D$6:CI$6,CJ$12,$D$7:CI$7,CJ$7,$D$5:CI$5,CJ$5,$D$4:CI$4,"&lt;&gt;"&amp;CJ$4)</f>
        <v>3</v>
      </c>
      <c r="CK14" s="308">
        <f t="shared" ref="CK14" si="62">RANK(CJ14,CJ$13:CJ$42,0)</f>
        <v>12</v>
      </c>
      <c r="CL14" s="308">
        <f>SUMIFS($D14:CK14,$D$6:CK$6,CL$12,$D$7:CK$7,CL$7,$D$5:CK$5,CL$5,$D$4:CK$4,"&lt;&gt;"&amp;CL$4)</f>
        <v>3</v>
      </c>
      <c r="CM14" s="308">
        <f t="shared" ref="CM14:CM42" si="63">RANK(CL14,CL$13:CL$42,0)</f>
        <v>16</v>
      </c>
      <c r="CN14" s="317">
        <v>0</v>
      </c>
      <c r="CO14" s="305">
        <f t="shared" ref="CO14:CO42" si="64">RANK(CN14,$CN$13:$CN$42,0)</f>
        <v>8</v>
      </c>
      <c r="CP14" s="305">
        <f t="shared" ref="CP14:CP42" si="65">MATCH(CN14,CP$46:CP$50,1)</f>
        <v>1</v>
      </c>
      <c r="CQ14" s="318">
        <v>2302.1440289148768</v>
      </c>
      <c r="CR14" s="307">
        <f t="shared" ref="CR14:CR42" si="66">RANK(CQ14,$CQ$13:$CQ$42,0)</f>
        <v>7</v>
      </c>
      <c r="CS14" s="308">
        <f t="shared" ref="CS14:CS42" si="67">MATCH(CQ14,CS$46:CS$50,1)</f>
        <v>3</v>
      </c>
      <c r="CT14" s="317">
        <v>44.344999999999999</v>
      </c>
      <c r="CU14" s="305">
        <f t="shared" si="12"/>
        <v>7</v>
      </c>
      <c r="CV14" s="305">
        <f t="shared" ref="CV14:CV42" si="68">MATCH(CT14,CV$46:CV$50,1)</f>
        <v>3</v>
      </c>
      <c r="CW14" s="320">
        <v>51.95</v>
      </c>
      <c r="CX14" s="307">
        <f t="shared" si="13"/>
        <v>7</v>
      </c>
      <c r="CY14" s="308">
        <f t="shared" ref="CY14:CY42" si="69">MATCH(CW14,CY$46:CY$50,1)</f>
        <v>3</v>
      </c>
      <c r="CZ14" s="317">
        <v>24.5</v>
      </c>
      <c r="DA14" s="305">
        <f t="shared" si="14"/>
        <v>5</v>
      </c>
      <c r="DB14" s="305">
        <f t="shared" ref="DB14:DB42" si="70">MATCH(CZ14,DB$46:DB$50,1)</f>
        <v>3</v>
      </c>
      <c r="DC14" s="320">
        <v>45.98</v>
      </c>
      <c r="DD14" s="307">
        <f t="shared" si="15"/>
        <v>3</v>
      </c>
      <c r="DE14" s="308">
        <f t="shared" ref="DE14:DE42" si="71">MATCH(DC14,DE$46:DE$50,1)</f>
        <v>4</v>
      </c>
      <c r="DF14" s="308">
        <f>SUMIFS($D14:DE14,$D$6:DE$6,DF$12,$D$7:DE$7,DF$7,$D$5:DE$5,DF$5,$D$4:DE$4,"&lt;&gt;"&amp;DF$4)</f>
        <v>7</v>
      </c>
      <c r="DG14" s="308">
        <f t="shared" ref="DG14" si="72">RANK(DF14,DF$13:DF$42,0)</f>
        <v>5</v>
      </c>
      <c r="DH14" s="308">
        <f>SUMIFS($D14:DG14,$D$6:DG$6,DH$12,$D$7:DG$7,DH$7,$D$5:DG$5,DH$5,$D$4:DG$4,"&lt;&gt;"&amp;DH$4)</f>
        <v>10</v>
      </c>
      <c r="DI14" s="308">
        <f t="shared" ref="DI14" si="73">RANK(DH14,DH$13:DH$42,0)</f>
        <v>4</v>
      </c>
      <c r="DJ14" s="311" cm="1">
        <f t="array" aca="1" ref="DJ14" ca="1">ROUNDUP(SUMPRODUCT(--($D$7:$DI$7=DJ$7),$D14:$DI14,$D$3:$DI$3),3)</f>
        <v>5.2</v>
      </c>
      <c r="DK14" s="305">
        <v>9</v>
      </c>
      <c r="DL14" s="319" cm="1">
        <f t="array" aca="1" ref="DL14" ca="1">ROUNDUP(SUMPRODUCT(--($D$7:$DI$7=DL$7),$D14:$DI14,$D$3:$DI$3),3)</f>
        <v>5.8</v>
      </c>
      <c r="DM14" s="321">
        <f t="shared" ref="DM14:DM42" ca="1" si="74">RANK(DL14,$DL$13:$DL$42,0)</f>
        <v>7</v>
      </c>
      <c r="DN14" s="451">
        <f t="shared" ca="1" si="16"/>
        <v>2</v>
      </c>
      <c r="DO14" s="316" t="s">
        <v>83</v>
      </c>
      <c r="DP14" s="322" t="s">
        <v>5</v>
      </c>
      <c r="DQ14" s="633"/>
    </row>
    <row r="15" spans="1:121" s="445" customFormat="1" ht="15" customHeight="1">
      <c r="B15" s="315" t="s">
        <v>5</v>
      </c>
      <c r="C15" s="316" t="s">
        <v>26</v>
      </c>
      <c r="D15" s="317">
        <v>0</v>
      </c>
      <c r="E15" s="305">
        <f t="shared" si="17"/>
        <v>13</v>
      </c>
      <c r="F15" s="305">
        <f t="shared" si="18"/>
        <v>1</v>
      </c>
      <c r="G15" s="318">
        <v>0</v>
      </c>
      <c r="H15" s="307">
        <f t="shared" si="19"/>
        <v>15</v>
      </c>
      <c r="I15" s="386">
        <f t="shared" si="20"/>
        <v>1</v>
      </c>
      <c r="J15" s="317">
        <v>0</v>
      </c>
      <c r="K15" s="305">
        <f t="shared" si="21"/>
        <v>9</v>
      </c>
      <c r="L15" s="305">
        <f t="shared" si="22"/>
        <v>1</v>
      </c>
      <c r="M15" s="319">
        <v>0</v>
      </c>
      <c r="N15" s="307">
        <f t="shared" si="23"/>
        <v>13</v>
      </c>
      <c r="O15" s="308">
        <f t="shared" si="24"/>
        <v>1</v>
      </c>
      <c r="P15" s="317">
        <v>0.4</v>
      </c>
      <c r="Q15" s="305">
        <f t="shared" si="25"/>
        <v>5</v>
      </c>
      <c r="R15" s="305">
        <f t="shared" si="26"/>
        <v>2</v>
      </c>
      <c r="S15" s="319">
        <v>0</v>
      </c>
      <c r="T15" s="307">
        <f t="shared" si="8"/>
        <v>9</v>
      </c>
      <c r="U15" s="308">
        <f t="shared" si="9"/>
        <v>1</v>
      </c>
      <c r="V15" s="308">
        <f>SUMIFS($D15:U15,$D$6:U$6,V$12,$D$7:U$7,V$7,$D$5:U$5,V$5,$D$4:U$4,"&lt;&gt;"&amp;V$4)</f>
        <v>4</v>
      </c>
      <c r="W15" s="308">
        <f t="shared" si="27"/>
        <v>11</v>
      </c>
      <c r="X15" s="308">
        <f>SUMIFS($D15:W15,$D$6:W$6,X$12,$D$7:W$7,X$7,$D$5:W$5,X$5,$D$4:W$4,"&lt;&gt;"&amp;X$4)</f>
        <v>3</v>
      </c>
      <c r="Y15" s="308">
        <f t="shared" si="27"/>
        <v>15</v>
      </c>
      <c r="Z15" s="317">
        <v>0</v>
      </c>
      <c r="AA15" s="305">
        <f t="shared" si="28"/>
        <v>11</v>
      </c>
      <c r="AB15" s="305">
        <f t="shared" si="29"/>
        <v>1</v>
      </c>
      <c r="AC15" s="318">
        <v>0</v>
      </c>
      <c r="AD15" s="307">
        <f t="shared" si="30"/>
        <v>11</v>
      </c>
      <c r="AE15" s="308">
        <f t="shared" si="31"/>
        <v>1</v>
      </c>
      <c r="AF15" s="317">
        <v>0</v>
      </c>
      <c r="AG15" s="305">
        <f t="shared" si="10"/>
        <v>10</v>
      </c>
      <c r="AH15" s="305">
        <f t="shared" si="32"/>
        <v>1</v>
      </c>
      <c r="AI15" s="320">
        <v>0</v>
      </c>
      <c r="AJ15" s="307">
        <f t="shared" si="11"/>
        <v>10</v>
      </c>
      <c r="AK15" s="308">
        <f t="shared" si="33"/>
        <v>1</v>
      </c>
      <c r="AL15" s="317">
        <v>0</v>
      </c>
      <c r="AM15" s="305">
        <f t="shared" si="34"/>
        <v>9</v>
      </c>
      <c r="AN15" s="305">
        <f t="shared" si="35"/>
        <v>1</v>
      </c>
      <c r="AO15" s="449"/>
      <c r="AP15" s="449"/>
      <c r="AQ15" s="450"/>
      <c r="AR15" s="308">
        <f>SUMIFS($D15:AQ15,$D$6:AQ$6,AR$12,$D$7:AQ$7,AR$7,$D$5:AQ$5,AR$5,$D$4:AQ$4,"&lt;&gt;"&amp;AR$4)</f>
        <v>3</v>
      </c>
      <c r="AS15" s="308">
        <f t="shared" si="36"/>
        <v>14</v>
      </c>
      <c r="AT15" s="308">
        <f>SUMIFS($D15:AS15,$D$6:AS$6,AT$12,$D$7:AS$7,AT$7,$D$5:AS$5,AT$5,$D$4:AS$4,"&lt;&gt;"&amp;AT$4)</f>
        <v>2</v>
      </c>
      <c r="AU15" s="308">
        <f t="shared" si="36"/>
        <v>10</v>
      </c>
      <c r="AV15" s="317">
        <v>0</v>
      </c>
      <c r="AW15" s="305">
        <f t="shared" si="37"/>
        <v>13</v>
      </c>
      <c r="AX15" s="305">
        <f t="shared" si="38"/>
        <v>1</v>
      </c>
      <c r="AY15" s="318">
        <v>0</v>
      </c>
      <c r="AZ15" s="307">
        <f t="shared" si="39"/>
        <v>14</v>
      </c>
      <c r="BA15" s="308">
        <f t="shared" si="40"/>
        <v>1</v>
      </c>
      <c r="BB15" s="317">
        <v>0</v>
      </c>
      <c r="BC15" s="305">
        <f t="shared" si="41"/>
        <v>8</v>
      </c>
      <c r="BD15" s="305">
        <f t="shared" si="42"/>
        <v>1</v>
      </c>
      <c r="BE15" s="320">
        <v>0</v>
      </c>
      <c r="BF15" s="307">
        <f t="shared" si="43"/>
        <v>8</v>
      </c>
      <c r="BG15" s="308">
        <f t="shared" si="44"/>
        <v>1</v>
      </c>
      <c r="BH15" s="317">
        <v>0</v>
      </c>
      <c r="BI15" s="305">
        <f t="shared" si="45"/>
        <v>9</v>
      </c>
      <c r="BJ15" s="305" cm="1">
        <f t="array" ref="BJ15">_xlfn.IFS(BH15&lt;BH$47, 1, BH15&lt;BH$48,2,BH15&lt;BH$49,3,BH15&lt;BH$50,4,BH15&gt;=BH$50,5)</f>
        <v>1</v>
      </c>
      <c r="BK15" s="319">
        <v>0</v>
      </c>
      <c r="BL15" s="307">
        <f t="shared" si="46"/>
        <v>7</v>
      </c>
      <c r="BM15" s="308">
        <f t="shared" si="47"/>
        <v>1</v>
      </c>
      <c r="BN15" s="308">
        <f>SUMIFS($D15:BM15,$D$6:BM$6,BN$12,$D$7:BM$7,BN$7,$D$5:BM$5,BN$5,$D$4:BM$4,"&lt;&gt;"&amp;BN$4)</f>
        <v>3</v>
      </c>
      <c r="BO15" s="308">
        <f t="shared" ref="BO15" si="75">RANK(BN15,BN$13:BN$42,0)</f>
        <v>14</v>
      </c>
      <c r="BP15" s="308">
        <f>SUMIFS($D15:BO15,$D$6:BO$6,BP$12,$D$7:BO$7,BP$7,$D$5:BO$5,BP$5,$D$4:BO$4,"&lt;&gt;"&amp;BP$4)</f>
        <v>3</v>
      </c>
      <c r="BQ15" s="308">
        <f t="shared" ref="BQ15" si="76">RANK(BP15,BP$13:BP$42,0)</f>
        <v>13</v>
      </c>
      <c r="BR15" s="317">
        <v>0</v>
      </c>
      <c r="BS15" s="305">
        <f t="shared" si="50"/>
        <v>7</v>
      </c>
      <c r="BT15" s="305">
        <f t="shared" si="51"/>
        <v>1</v>
      </c>
      <c r="BU15" s="318">
        <v>0</v>
      </c>
      <c r="BV15" s="307">
        <f t="shared" si="52"/>
        <v>10</v>
      </c>
      <c r="BW15" s="308">
        <f t="shared" si="53"/>
        <v>1</v>
      </c>
      <c r="BX15" s="317">
        <v>0</v>
      </c>
      <c r="BY15" s="305">
        <f t="shared" si="54"/>
        <v>10</v>
      </c>
      <c r="BZ15" s="305">
        <f t="shared" si="55"/>
        <v>1</v>
      </c>
      <c r="CA15" s="318">
        <v>0</v>
      </c>
      <c r="CB15" s="307">
        <f t="shared" si="56"/>
        <v>11</v>
      </c>
      <c r="CC15" s="308">
        <f t="shared" si="57"/>
        <v>1</v>
      </c>
      <c r="CD15" s="317">
        <v>0</v>
      </c>
      <c r="CE15" s="305">
        <f t="shared" si="58"/>
        <v>5</v>
      </c>
      <c r="CF15" s="305">
        <f t="shared" si="59"/>
        <v>1</v>
      </c>
      <c r="CG15" s="320">
        <v>0</v>
      </c>
      <c r="CH15" s="307">
        <f t="shared" si="60"/>
        <v>5</v>
      </c>
      <c r="CI15" s="308">
        <f t="shared" si="61"/>
        <v>1</v>
      </c>
      <c r="CJ15" s="308">
        <f>SUMIFS($D15:CI15,$D$6:CI$6,CJ$12,$D$7:CI$7,CJ$7,$D$5:CI$5,CJ$5,$D$4:CI$4,"&lt;&gt;"&amp;CJ$4)</f>
        <v>3</v>
      </c>
      <c r="CK15" s="308">
        <f t="shared" ref="CK15" si="77">RANK(CJ15,CJ$13:CJ$42,0)</f>
        <v>12</v>
      </c>
      <c r="CL15" s="308">
        <f>SUMIFS($D15:CK15,$D$6:CK$6,CL$12,$D$7:CK$7,CL$7,$D$5:CK$5,CL$5,$D$4:CK$4,"&lt;&gt;"&amp;CL$4)</f>
        <v>3</v>
      </c>
      <c r="CM15" s="308">
        <f t="shared" si="63"/>
        <v>16</v>
      </c>
      <c r="CN15" s="317">
        <v>0</v>
      </c>
      <c r="CO15" s="305">
        <f t="shared" si="64"/>
        <v>8</v>
      </c>
      <c r="CP15" s="305">
        <f t="shared" si="65"/>
        <v>1</v>
      </c>
      <c r="CQ15" s="318">
        <v>0</v>
      </c>
      <c r="CR15" s="307">
        <f t="shared" si="66"/>
        <v>11</v>
      </c>
      <c r="CS15" s="308">
        <f t="shared" si="67"/>
        <v>1</v>
      </c>
      <c r="CT15" s="317">
        <v>0</v>
      </c>
      <c r="CU15" s="305">
        <f t="shared" si="12"/>
        <v>12</v>
      </c>
      <c r="CV15" s="305">
        <f t="shared" si="68"/>
        <v>1</v>
      </c>
      <c r="CW15" s="320">
        <v>0</v>
      </c>
      <c r="CX15" s="307">
        <f t="shared" si="13"/>
        <v>13</v>
      </c>
      <c r="CY15" s="308">
        <f t="shared" si="69"/>
        <v>1</v>
      </c>
      <c r="CZ15" s="317">
        <v>0</v>
      </c>
      <c r="DA15" s="305">
        <f t="shared" si="14"/>
        <v>8</v>
      </c>
      <c r="DB15" s="305">
        <f t="shared" si="70"/>
        <v>1</v>
      </c>
      <c r="DC15" s="320">
        <v>0</v>
      </c>
      <c r="DD15" s="307">
        <f t="shared" si="15"/>
        <v>8</v>
      </c>
      <c r="DE15" s="308">
        <f t="shared" si="71"/>
        <v>1</v>
      </c>
      <c r="DF15" s="308">
        <f>SUMIFS($D15:DE15,$D$6:DE$6,DF$12,$D$7:DE$7,DF$7,$D$5:DE$5,DF$5,$D$4:DE$4,"&lt;&gt;"&amp;DF$4)</f>
        <v>3</v>
      </c>
      <c r="DG15" s="308">
        <f t="shared" ref="DG15" si="78">RANK(DF15,DF$13:DF$42,0)</f>
        <v>13</v>
      </c>
      <c r="DH15" s="308">
        <f>SUMIFS($D15:DG15,$D$6:DG$6,DH$12,$D$7:DG$7,DH$7,$D$5:DG$5,DH$5,$D$4:DG$4,"&lt;&gt;"&amp;DH$4)</f>
        <v>3</v>
      </c>
      <c r="DI15" s="308">
        <f t="shared" ref="DI15" si="79">RANK(DH15,DH$13:DH$42,0)</f>
        <v>14</v>
      </c>
      <c r="DJ15" s="311" cm="1">
        <f t="array" aca="1" ref="DJ15" ca="1">ROUNDUP(SUMPRODUCT(--($D$7:$DI$7=DJ$7),$D15:$DI15,$D$3:$DI$3),3)</f>
        <v>3.2</v>
      </c>
      <c r="DK15" s="305">
        <v>24</v>
      </c>
      <c r="DL15" s="319" cm="1">
        <f t="array" aca="1" ref="DL15" ca="1">ROUNDUP(SUMPRODUCT(--($D$7:$DI$7=DL$7),$D15:$DI15,$D$3:$DI$3),3)</f>
        <v>2.8</v>
      </c>
      <c r="DM15" s="321">
        <f t="shared" ca="1" si="74"/>
        <v>24</v>
      </c>
      <c r="DN15" s="451">
        <f t="shared" ca="1" si="16"/>
        <v>0</v>
      </c>
      <c r="DO15" s="316" t="s">
        <v>26</v>
      </c>
      <c r="DP15" s="322" t="s">
        <v>5</v>
      </c>
      <c r="DQ15" s="633"/>
    </row>
    <row r="16" spans="1:121" s="445" customFormat="1" ht="15" customHeight="1">
      <c r="B16" s="315" t="s">
        <v>5</v>
      </c>
      <c r="C16" s="316" t="s">
        <v>25</v>
      </c>
      <c r="D16" s="317">
        <v>0</v>
      </c>
      <c r="E16" s="305">
        <f>RANK(D16,$D$13:$D$42,0)</f>
        <v>13</v>
      </c>
      <c r="F16" s="305">
        <f t="shared" si="18"/>
        <v>1</v>
      </c>
      <c r="G16" s="318">
        <v>0</v>
      </c>
      <c r="H16" s="307">
        <f>RANK(G16,$G$13:$G$42,0)</f>
        <v>15</v>
      </c>
      <c r="I16" s="386">
        <f t="shared" si="20"/>
        <v>1</v>
      </c>
      <c r="J16" s="317">
        <v>0</v>
      </c>
      <c r="K16" s="305">
        <f>RANK(J16,$J$13:$J$42,0)</f>
        <v>9</v>
      </c>
      <c r="L16" s="305">
        <f t="shared" si="22"/>
        <v>1</v>
      </c>
      <c r="M16" s="320">
        <v>0</v>
      </c>
      <c r="N16" s="307">
        <f>RANK(M16,$M$13:$M$42,0)</f>
        <v>13</v>
      </c>
      <c r="O16" s="308">
        <f t="shared" si="24"/>
        <v>1</v>
      </c>
      <c r="P16" s="317">
        <v>0</v>
      </c>
      <c r="Q16" s="305">
        <f>RANK(P16,$P$13:$P$42,0)</f>
        <v>6</v>
      </c>
      <c r="R16" s="305">
        <f t="shared" si="26"/>
        <v>1</v>
      </c>
      <c r="S16" s="320">
        <v>0</v>
      </c>
      <c r="T16" s="307">
        <f t="shared" si="8"/>
        <v>9</v>
      </c>
      <c r="U16" s="308">
        <f t="shared" si="9"/>
        <v>1</v>
      </c>
      <c r="V16" s="308">
        <f>SUMIFS($D16:U16,$D$6:U$6,V$12,$D$7:U$7,V$7,$D$5:U$5,V$5,$D$4:U$4,"&lt;&gt;"&amp;V$4)</f>
        <v>3</v>
      </c>
      <c r="W16" s="308">
        <f t="shared" si="27"/>
        <v>15</v>
      </c>
      <c r="X16" s="308">
        <f>SUMIFS($D16:W16,$D$6:W$6,X$12,$D$7:W$7,X$7,$D$5:W$5,X$5,$D$4:W$4,"&lt;&gt;"&amp;X$4)</f>
        <v>3</v>
      </c>
      <c r="Y16" s="308">
        <f t="shared" si="27"/>
        <v>15</v>
      </c>
      <c r="Z16" s="317">
        <v>22.589999999999996</v>
      </c>
      <c r="AA16" s="305">
        <f>RANK(Z16,$Z$13:$Z$42,0)</f>
        <v>10</v>
      </c>
      <c r="AB16" s="305">
        <f t="shared" si="29"/>
        <v>1</v>
      </c>
      <c r="AC16" s="318">
        <v>23</v>
      </c>
      <c r="AD16" s="307">
        <f t="shared" si="30"/>
        <v>10</v>
      </c>
      <c r="AE16" s="308">
        <f t="shared" si="31"/>
        <v>1</v>
      </c>
      <c r="AF16" s="317">
        <v>0.3</v>
      </c>
      <c r="AG16" s="305">
        <f t="shared" si="10"/>
        <v>9</v>
      </c>
      <c r="AH16" s="305">
        <f t="shared" si="32"/>
        <v>1</v>
      </c>
      <c r="AI16" s="320">
        <v>0.25</v>
      </c>
      <c r="AJ16" s="307">
        <f t="shared" si="11"/>
        <v>9</v>
      </c>
      <c r="AK16" s="308">
        <f t="shared" si="33"/>
        <v>1</v>
      </c>
      <c r="AL16" s="317">
        <v>0</v>
      </c>
      <c r="AM16" s="305">
        <f t="shared" si="34"/>
        <v>9</v>
      </c>
      <c r="AN16" s="305">
        <f t="shared" si="35"/>
        <v>1</v>
      </c>
      <c r="AO16" s="449"/>
      <c r="AP16" s="449"/>
      <c r="AQ16" s="450"/>
      <c r="AR16" s="308">
        <f>SUMIFS($D16:AQ16,$D$6:AQ$6,AR$12,$D$7:AQ$7,AR$7,$D$5:AQ$5,AR$5,$D$4:AQ$4,"&lt;&gt;"&amp;AR$4)</f>
        <v>3</v>
      </c>
      <c r="AS16" s="308">
        <f t="shared" si="36"/>
        <v>14</v>
      </c>
      <c r="AT16" s="308">
        <f>SUMIFS($D16:AS16,$D$6:AS$6,AT$12,$D$7:AS$7,AT$7,$D$5:AS$5,AT$5,$D$4:AS$4,"&lt;&gt;"&amp;AT$4)</f>
        <v>2</v>
      </c>
      <c r="AU16" s="308">
        <f t="shared" si="36"/>
        <v>10</v>
      </c>
      <c r="AV16" s="317">
        <v>535.63556208670093</v>
      </c>
      <c r="AW16" s="305">
        <f t="shared" si="37"/>
        <v>8</v>
      </c>
      <c r="AX16" s="305">
        <f t="shared" si="38"/>
        <v>3</v>
      </c>
      <c r="AY16" s="318">
        <v>536</v>
      </c>
      <c r="AZ16" s="307">
        <f t="shared" si="39"/>
        <v>8</v>
      </c>
      <c r="BA16" s="308">
        <f t="shared" si="40"/>
        <v>3</v>
      </c>
      <c r="BB16" s="317">
        <v>0</v>
      </c>
      <c r="BC16" s="305">
        <f t="shared" si="41"/>
        <v>8</v>
      </c>
      <c r="BD16" s="305">
        <f t="shared" si="42"/>
        <v>1</v>
      </c>
      <c r="BE16" s="320">
        <v>0</v>
      </c>
      <c r="BF16" s="307">
        <f t="shared" si="43"/>
        <v>8</v>
      </c>
      <c r="BG16" s="308">
        <f t="shared" si="44"/>
        <v>1</v>
      </c>
      <c r="BH16" s="317">
        <v>0</v>
      </c>
      <c r="BI16" s="305">
        <f t="shared" si="45"/>
        <v>9</v>
      </c>
      <c r="BJ16" s="305" cm="1">
        <f t="array" ref="BJ16">_xlfn.IFS(BH16&lt;BH$47, 1, BH16&lt;BH$48,2,BH16&lt;BH$49,3,BH16&lt;BH$50,4,BH16&gt;=BH$50,5)</f>
        <v>1</v>
      </c>
      <c r="BK16" s="319">
        <v>0</v>
      </c>
      <c r="BL16" s="307">
        <f t="shared" si="46"/>
        <v>7</v>
      </c>
      <c r="BM16" s="308">
        <f t="shared" si="47"/>
        <v>1</v>
      </c>
      <c r="BN16" s="308">
        <f>SUMIFS($D16:BM16,$D$6:BM$6,BN$12,$D$7:BM$7,BN$7,$D$5:BM$5,BN$5,$D$4:BM$4,"&lt;&gt;"&amp;BN$4)</f>
        <v>5</v>
      </c>
      <c r="BO16" s="308">
        <f t="shared" ref="BO16" si="80">RANK(BN16,BN$13:BN$42,0)</f>
        <v>8</v>
      </c>
      <c r="BP16" s="308">
        <f>SUMIFS($D16:BO16,$D$6:BO$6,BP$12,$D$7:BO$7,BP$7,$D$5:BO$5,BP$5,$D$4:BO$4,"&lt;&gt;"&amp;BP$4)</f>
        <v>5</v>
      </c>
      <c r="BQ16" s="308">
        <f t="shared" ref="BQ16" si="81">RANK(BP16,BP$13:BP$42,0)</f>
        <v>8</v>
      </c>
      <c r="BR16" s="317">
        <v>0</v>
      </c>
      <c r="BS16" s="305">
        <f t="shared" si="50"/>
        <v>7</v>
      </c>
      <c r="BT16" s="305">
        <f t="shared" si="51"/>
        <v>1</v>
      </c>
      <c r="BU16" s="318">
        <v>0</v>
      </c>
      <c r="BV16" s="307">
        <f t="shared" si="52"/>
        <v>10</v>
      </c>
      <c r="BW16" s="308">
        <f t="shared" si="53"/>
        <v>1</v>
      </c>
      <c r="BX16" s="317">
        <v>0</v>
      </c>
      <c r="BY16" s="305">
        <f t="shared" si="54"/>
        <v>10</v>
      </c>
      <c r="BZ16" s="305">
        <f t="shared" si="55"/>
        <v>1</v>
      </c>
      <c r="CA16" s="318">
        <v>0</v>
      </c>
      <c r="CB16" s="307">
        <f t="shared" si="56"/>
        <v>11</v>
      </c>
      <c r="CC16" s="308">
        <f t="shared" si="57"/>
        <v>1</v>
      </c>
      <c r="CD16" s="317">
        <v>0</v>
      </c>
      <c r="CE16" s="305">
        <f t="shared" si="58"/>
        <v>5</v>
      </c>
      <c r="CF16" s="305">
        <f t="shared" si="59"/>
        <v>1</v>
      </c>
      <c r="CG16" s="320">
        <v>0</v>
      </c>
      <c r="CH16" s="307">
        <f t="shared" si="60"/>
        <v>5</v>
      </c>
      <c r="CI16" s="308">
        <f t="shared" si="61"/>
        <v>1</v>
      </c>
      <c r="CJ16" s="308">
        <f>SUMIFS($D16:CI16,$D$6:CI$6,CJ$12,$D$7:CI$7,CJ$7,$D$5:CI$5,CJ$5,$D$4:CI$4,"&lt;&gt;"&amp;CJ$4)</f>
        <v>3</v>
      </c>
      <c r="CK16" s="308">
        <f t="shared" ref="CK16" si="82">RANK(CJ16,CJ$13:CJ$42,0)</f>
        <v>12</v>
      </c>
      <c r="CL16" s="308">
        <f>SUMIFS($D16:CK16,$D$6:CK$6,CL$12,$D$7:CK$7,CL$7,$D$5:CK$5,CL$5,$D$4:CK$4,"&lt;&gt;"&amp;CL$4)</f>
        <v>3</v>
      </c>
      <c r="CM16" s="308">
        <f t="shared" si="63"/>
        <v>16</v>
      </c>
      <c r="CN16" s="317">
        <v>0</v>
      </c>
      <c r="CO16" s="305">
        <f t="shared" si="64"/>
        <v>8</v>
      </c>
      <c r="CP16" s="305">
        <f t="shared" si="65"/>
        <v>1</v>
      </c>
      <c r="CQ16" s="318">
        <v>0</v>
      </c>
      <c r="CR16" s="307">
        <f t="shared" si="66"/>
        <v>11</v>
      </c>
      <c r="CS16" s="308">
        <f t="shared" si="67"/>
        <v>1</v>
      </c>
      <c r="CT16" s="317">
        <v>0</v>
      </c>
      <c r="CU16" s="305">
        <f t="shared" si="12"/>
        <v>12</v>
      </c>
      <c r="CV16" s="305">
        <f t="shared" si="68"/>
        <v>1</v>
      </c>
      <c r="CW16" s="320">
        <v>0</v>
      </c>
      <c r="CX16" s="307">
        <f t="shared" si="13"/>
        <v>13</v>
      </c>
      <c r="CY16" s="308">
        <f t="shared" si="69"/>
        <v>1</v>
      </c>
      <c r="CZ16" s="317">
        <v>0</v>
      </c>
      <c r="DA16" s="305">
        <f>RANK(CZ16,$CZ$13:$CZ$42,0)</f>
        <v>8</v>
      </c>
      <c r="DB16" s="305">
        <f t="shared" si="70"/>
        <v>1</v>
      </c>
      <c r="DC16" s="320">
        <v>0</v>
      </c>
      <c r="DD16" s="307">
        <f t="shared" si="15"/>
        <v>8</v>
      </c>
      <c r="DE16" s="308">
        <f t="shared" si="71"/>
        <v>1</v>
      </c>
      <c r="DF16" s="308">
        <f>SUMIFS($D16:DE16,$D$6:DE$6,DF$12,$D$7:DE$7,DF$7,$D$5:DE$5,DF$5,$D$4:DE$4,"&lt;&gt;"&amp;DF$4)</f>
        <v>3</v>
      </c>
      <c r="DG16" s="308">
        <f t="shared" ref="DG16" si="83">RANK(DF16,DF$13:DF$42,0)</f>
        <v>13</v>
      </c>
      <c r="DH16" s="308">
        <f>SUMIFS($D16:DG16,$D$6:DG$6,DH$12,$D$7:DG$7,DH$7,$D$5:DG$5,DH$5,$D$4:DG$4,"&lt;&gt;"&amp;DH$4)</f>
        <v>3</v>
      </c>
      <c r="DI16" s="308">
        <f t="shared" ref="DI16" si="84">RANK(DH16,DH$13:DH$42,0)</f>
        <v>14</v>
      </c>
      <c r="DJ16" s="311" cm="1">
        <f t="array" aca="1" ref="DJ16" ca="1">ROUNDUP(SUMPRODUCT(--($D$7:$DI$7=DJ$7),$D16:$DI16,$D$3:$DI$3),3)</f>
        <v>3.4</v>
      </c>
      <c r="DK16" s="305">
        <v>21</v>
      </c>
      <c r="DL16" s="319" cm="1">
        <f t="array" aca="1" ref="DL16" ca="1">ROUNDUP(SUMPRODUCT(--($D$7:$DI$7=DL$7),$D16:$DI16,$D$3:$DI$3),3)</f>
        <v>3.2</v>
      </c>
      <c r="DM16" s="321">
        <f t="shared" ca="1" si="74"/>
        <v>20</v>
      </c>
      <c r="DN16" s="451">
        <f t="shared" ca="1" si="16"/>
        <v>1</v>
      </c>
      <c r="DO16" s="316" t="s">
        <v>25</v>
      </c>
      <c r="DP16" s="322" t="s">
        <v>5</v>
      </c>
      <c r="DQ16" s="633"/>
    </row>
    <row r="17" spans="2:121" s="445" customFormat="1" ht="15" customHeight="1">
      <c r="B17" s="315" t="s">
        <v>5</v>
      </c>
      <c r="C17" s="316" t="s">
        <v>55</v>
      </c>
      <c r="D17" s="317">
        <v>0</v>
      </c>
      <c r="E17" s="305">
        <f t="shared" ref="E17:E41" si="85">RANK(D17,$D$13:$D$42,0)</f>
        <v>13</v>
      </c>
      <c r="F17" s="305">
        <f t="shared" si="18"/>
        <v>1</v>
      </c>
      <c r="G17" s="318">
        <v>0</v>
      </c>
      <c r="H17" s="307">
        <f t="shared" ref="H17:H41" si="86">RANK(G17,$G$13:$G$42,0)</f>
        <v>15</v>
      </c>
      <c r="I17" s="386">
        <f t="shared" si="20"/>
        <v>1</v>
      </c>
      <c r="J17" s="317">
        <v>0</v>
      </c>
      <c r="K17" s="305">
        <f t="shared" ref="K17:K42" si="87">RANK(J17,$J$13:$J$42,0)</f>
        <v>9</v>
      </c>
      <c r="L17" s="305">
        <f t="shared" si="22"/>
        <v>1</v>
      </c>
      <c r="M17" s="320">
        <v>0</v>
      </c>
      <c r="N17" s="307">
        <f t="shared" ref="N17:N38" si="88">RANK(M17,$M$13:$M$42,0)</f>
        <v>13</v>
      </c>
      <c r="O17" s="308">
        <f t="shared" si="24"/>
        <v>1</v>
      </c>
      <c r="P17" s="317">
        <v>0</v>
      </c>
      <c r="Q17" s="305">
        <f t="shared" ref="Q17:Q42" si="89">RANK(P17,$P$13:$P$42,0)</f>
        <v>6</v>
      </c>
      <c r="R17" s="305">
        <f t="shared" si="26"/>
        <v>1</v>
      </c>
      <c r="S17" s="320">
        <v>0</v>
      </c>
      <c r="T17" s="307">
        <f t="shared" si="8"/>
        <v>9</v>
      </c>
      <c r="U17" s="308">
        <f t="shared" si="9"/>
        <v>1</v>
      </c>
      <c r="V17" s="308">
        <f>SUMIFS($D17:U17,$D$6:U$6,V$12,$D$7:U$7,V$7,$D$5:U$5,V$5,$D$4:U$4,"&lt;&gt;"&amp;V$4)</f>
        <v>3</v>
      </c>
      <c r="W17" s="308">
        <f t="shared" si="27"/>
        <v>15</v>
      </c>
      <c r="X17" s="308">
        <f>SUMIFS($D17:W17,$D$6:W$6,X$12,$D$7:W$7,X$7,$D$5:W$5,X$5,$D$4:W$4,"&lt;&gt;"&amp;X$4)</f>
        <v>3</v>
      </c>
      <c r="Y17" s="308">
        <f t="shared" si="27"/>
        <v>15</v>
      </c>
      <c r="Z17" s="317">
        <v>0</v>
      </c>
      <c r="AA17" s="305">
        <f t="shared" ref="AA17:AA42" si="90">RANK(Z17,$Z$13:$Z$42,0)</f>
        <v>11</v>
      </c>
      <c r="AB17" s="305">
        <f t="shared" si="29"/>
        <v>1</v>
      </c>
      <c r="AC17" s="318">
        <v>0</v>
      </c>
      <c r="AD17" s="307">
        <f t="shared" si="30"/>
        <v>11</v>
      </c>
      <c r="AE17" s="308">
        <f t="shared" si="31"/>
        <v>1</v>
      </c>
      <c r="AF17" s="317">
        <v>0</v>
      </c>
      <c r="AG17" s="305">
        <f t="shared" si="10"/>
        <v>10</v>
      </c>
      <c r="AH17" s="305">
        <f t="shared" si="32"/>
        <v>1</v>
      </c>
      <c r="AI17" s="320">
        <v>0</v>
      </c>
      <c r="AJ17" s="307">
        <f t="shared" si="11"/>
        <v>10</v>
      </c>
      <c r="AK17" s="308">
        <f t="shared" si="33"/>
        <v>1</v>
      </c>
      <c r="AL17" s="317">
        <v>0</v>
      </c>
      <c r="AM17" s="305">
        <f t="shared" si="34"/>
        <v>9</v>
      </c>
      <c r="AN17" s="305">
        <f t="shared" si="35"/>
        <v>1</v>
      </c>
      <c r="AO17" s="449"/>
      <c r="AP17" s="449"/>
      <c r="AQ17" s="450"/>
      <c r="AR17" s="308">
        <f>SUMIFS($D17:AQ17,$D$6:AQ$6,AR$12,$D$7:AQ$7,AR$7,$D$5:AQ$5,AR$5,$D$4:AQ$4,"&lt;&gt;"&amp;AR$4)</f>
        <v>3</v>
      </c>
      <c r="AS17" s="308">
        <f t="shared" si="36"/>
        <v>14</v>
      </c>
      <c r="AT17" s="308">
        <f>SUMIFS($D17:AS17,$D$6:AS$6,AT$12,$D$7:AS$7,AT$7,$D$5:AS$5,AT$5,$D$4:AS$4,"&lt;&gt;"&amp;AT$4)</f>
        <v>2</v>
      </c>
      <c r="AU17" s="308">
        <f t="shared" si="36"/>
        <v>10</v>
      </c>
      <c r="AV17" s="317">
        <v>0</v>
      </c>
      <c r="AW17" s="305">
        <f t="shared" si="37"/>
        <v>13</v>
      </c>
      <c r="AX17" s="305">
        <f t="shared" si="38"/>
        <v>1</v>
      </c>
      <c r="AY17" s="318">
        <v>0</v>
      </c>
      <c r="AZ17" s="307">
        <f t="shared" si="39"/>
        <v>14</v>
      </c>
      <c r="BA17" s="308">
        <f t="shared" si="40"/>
        <v>1</v>
      </c>
      <c r="BB17" s="317">
        <v>0</v>
      </c>
      <c r="BC17" s="305">
        <f t="shared" si="41"/>
        <v>8</v>
      </c>
      <c r="BD17" s="305">
        <f t="shared" si="42"/>
        <v>1</v>
      </c>
      <c r="BE17" s="320">
        <v>0</v>
      </c>
      <c r="BF17" s="307">
        <f t="shared" si="43"/>
        <v>8</v>
      </c>
      <c r="BG17" s="308">
        <f t="shared" si="44"/>
        <v>1</v>
      </c>
      <c r="BH17" s="317">
        <v>0</v>
      </c>
      <c r="BI17" s="305">
        <f t="shared" si="45"/>
        <v>9</v>
      </c>
      <c r="BJ17" s="305" cm="1">
        <f t="array" ref="BJ17">_xlfn.IFS(BH17&lt;BH$47, 1, BH17&lt;BH$48,2,BH17&lt;BH$49,3,BH17&lt;BH$50,4,BH17&gt;=BH$50,5)</f>
        <v>1</v>
      </c>
      <c r="BK17" s="319">
        <v>0</v>
      </c>
      <c r="BL17" s="307">
        <f t="shared" si="46"/>
        <v>7</v>
      </c>
      <c r="BM17" s="308">
        <f t="shared" si="47"/>
        <v>1</v>
      </c>
      <c r="BN17" s="308">
        <f>SUMIFS($D17:BM17,$D$6:BM$6,BN$12,$D$7:BM$7,BN$7,$D$5:BM$5,BN$5,$D$4:BM$4,"&lt;&gt;"&amp;BN$4)</f>
        <v>3</v>
      </c>
      <c r="BO17" s="308">
        <f t="shared" ref="BO17" si="91">RANK(BN17,BN$13:BN$42,0)</f>
        <v>14</v>
      </c>
      <c r="BP17" s="308">
        <f>SUMIFS($D17:BO17,$D$6:BO$6,BP$12,$D$7:BO$7,BP$7,$D$5:BO$5,BP$5,$D$4:BO$4,"&lt;&gt;"&amp;BP$4)</f>
        <v>3</v>
      </c>
      <c r="BQ17" s="308">
        <f t="shared" ref="BQ17" si="92">RANK(BP17,BP$13:BP$42,0)</f>
        <v>13</v>
      </c>
      <c r="BR17" s="317">
        <v>0</v>
      </c>
      <c r="BS17" s="305">
        <f t="shared" si="50"/>
        <v>7</v>
      </c>
      <c r="BT17" s="305">
        <f t="shared" si="51"/>
        <v>1</v>
      </c>
      <c r="BU17" s="318">
        <v>0</v>
      </c>
      <c r="BV17" s="307">
        <f t="shared" si="52"/>
        <v>10</v>
      </c>
      <c r="BW17" s="308">
        <f t="shared" si="53"/>
        <v>1</v>
      </c>
      <c r="BX17" s="317">
        <v>0</v>
      </c>
      <c r="BY17" s="305">
        <f t="shared" si="54"/>
        <v>10</v>
      </c>
      <c r="BZ17" s="305">
        <f t="shared" si="55"/>
        <v>1</v>
      </c>
      <c r="CA17" s="318">
        <v>0</v>
      </c>
      <c r="CB17" s="307">
        <f t="shared" si="56"/>
        <v>11</v>
      </c>
      <c r="CC17" s="308">
        <f t="shared" si="57"/>
        <v>1</v>
      </c>
      <c r="CD17" s="317">
        <v>0</v>
      </c>
      <c r="CE17" s="305">
        <f t="shared" si="58"/>
        <v>5</v>
      </c>
      <c r="CF17" s="305">
        <f t="shared" si="59"/>
        <v>1</v>
      </c>
      <c r="CG17" s="320">
        <v>0</v>
      </c>
      <c r="CH17" s="307">
        <f t="shared" si="60"/>
        <v>5</v>
      </c>
      <c r="CI17" s="308">
        <f t="shared" si="61"/>
        <v>1</v>
      </c>
      <c r="CJ17" s="308">
        <f>SUMIFS($D17:CI17,$D$6:CI$6,CJ$12,$D$7:CI$7,CJ$7,$D$5:CI$5,CJ$5,$D$4:CI$4,"&lt;&gt;"&amp;CJ$4)</f>
        <v>3</v>
      </c>
      <c r="CK17" s="308">
        <f t="shared" ref="CK17" si="93">RANK(CJ17,CJ$13:CJ$42,0)</f>
        <v>12</v>
      </c>
      <c r="CL17" s="308">
        <f>SUMIFS($D17:CK17,$D$6:CK$6,CL$12,$D$7:CK$7,CL$7,$D$5:CK$5,CL$5,$D$4:CK$4,"&lt;&gt;"&amp;CL$4)</f>
        <v>3</v>
      </c>
      <c r="CM17" s="308">
        <f t="shared" si="63"/>
        <v>16</v>
      </c>
      <c r="CN17" s="317">
        <v>0</v>
      </c>
      <c r="CO17" s="305">
        <f t="shared" si="64"/>
        <v>8</v>
      </c>
      <c r="CP17" s="305">
        <f t="shared" si="65"/>
        <v>1</v>
      </c>
      <c r="CQ17" s="318">
        <v>0</v>
      </c>
      <c r="CR17" s="307">
        <f t="shared" si="66"/>
        <v>11</v>
      </c>
      <c r="CS17" s="308">
        <f t="shared" si="67"/>
        <v>1</v>
      </c>
      <c r="CT17" s="317">
        <v>0</v>
      </c>
      <c r="CU17" s="305">
        <f t="shared" si="12"/>
        <v>12</v>
      </c>
      <c r="CV17" s="305">
        <f t="shared" si="68"/>
        <v>1</v>
      </c>
      <c r="CW17" s="320">
        <v>0</v>
      </c>
      <c r="CX17" s="307">
        <f t="shared" si="13"/>
        <v>13</v>
      </c>
      <c r="CY17" s="308">
        <f t="shared" si="69"/>
        <v>1</v>
      </c>
      <c r="CZ17" s="317">
        <v>0</v>
      </c>
      <c r="DA17" s="305">
        <f t="shared" ref="DA17:DA42" si="94">RANK(CZ17,$CZ$13:$CZ$42,0)</f>
        <v>8</v>
      </c>
      <c r="DB17" s="305">
        <f t="shared" si="70"/>
        <v>1</v>
      </c>
      <c r="DC17" s="320">
        <v>0</v>
      </c>
      <c r="DD17" s="307">
        <f t="shared" si="15"/>
        <v>8</v>
      </c>
      <c r="DE17" s="308">
        <f t="shared" si="71"/>
        <v>1</v>
      </c>
      <c r="DF17" s="308">
        <f>SUMIFS($D17:DE17,$D$6:DE$6,DF$12,$D$7:DE$7,DF$7,$D$5:DE$5,DF$5,$D$4:DE$4,"&lt;&gt;"&amp;DF$4)</f>
        <v>3</v>
      </c>
      <c r="DG17" s="308">
        <f t="shared" ref="DG17" si="95">RANK(DF17,DF$13:DF$42,0)</f>
        <v>13</v>
      </c>
      <c r="DH17" s="308">
        <f>SUMIFS($D17:DG17,$D$6:DG$6,DH$12,$D$7:DG$7,DH$7,$D$5:DG$5,DH$5,$D$4:DG$4,"&lt;&gt;"&amp;DH$4)</f>
        <v>3</v>
      </c>
      <c r="DI17" s="308">
        <f t="shared" ref="DI17" si="96">RANK(DH17,DH$13:DH$42,0)</f>
        <v>14</v>
      </c>
      <c r="DJ17" s="311" cm="1">
        <f t="array" aca="1" ref="DJ17" ca="1">ROUNDUP(SUMPRODUCT(--($D$7:$DI$7=DJ$7),$D17:$DI17,$D$3:$DI$3),3)</f>
        <v>3</v>
      </c>
      <c r="DK17" s="305">
        <v>26</v>
      </c>
      <c r="DL17" s="319" cm="1">
        <f t="array" aca="1" ref="DL17" ca="1">ROUNDUP(SUMPRODUCT(--($D$7:$DI$7=DL$7),$D17:$DI17,$D$3:$DI$3),3)</f>
        <v>2.8</v>
      </c>
      <c r="DM17" s="321">
        <f t="shared" ca="1" si="74"/>
        <v>24</v>
      </c>
      <c r="DN17" s="451">
        <f t="shared" ca="1" si="16"/>
        <v>2</v>
      </c>
      <c r="DO17" s="316" t="s">
        <v>55</v>
      </c>
      <c r="DP17" s="322" t="s">
        <v>5</v>
      </c>
      <c r="DQ17" s="633"/>
    </row>
    <row r="18" spans="2:121" s="445" customFormat="1" ht="15" customHeight="1">
      <c r="B18" s="315" t="s">
        <v>5</v>
      </c>
      <c r="C18" s="316" t="s">
        <v>339</v>
      </c>
      <c r="D18" s="317">
        <v>0</v>
      </c>
      <c r="E18" s="305">
        <f t="shared" si="85"/>
        <v>13</v>
      </c>
      <c r="F18" s="305">
        <f t="shared" si="18"/>
        <v>1</v>
      </c>
      <c r="G18" s="318">
        <v>0</v>
      </c>
      <c r="H18" s="307">
        <f t="shared" si="86"/>
        <v>15</v>
      </c>
      <c r="I18" s="386">
        <f t="shared" si="20"/>
        <v>1</v>
      </c>
      <c r="J18" s="317">
        <v>0</v>
      </c>
      <c r="K18" s="305">
        <f t="shared" si="87"/>
        <v>9</v>
      </c>
      <c r="L18" s="305">
        <f t="shared" si="22"/>
        <v>1</v>
      </c>
      <c r="M18" s="320">
        <v>0</v>
      </c>
      <c r="N18" s="307">
        <f t="shared" si="88"/>
        <v>13</v>
      </c>
      <c r="O18" s="308">
        <f t="shared" si="24"/>
        <v>1</v>
      </c>
      <c r="P18" s="317">
        <v>0</v>
      </c>
      <c r="Q18" s="305">
        <f t="shared" si="89"/>
        <v>6</v>
      </c>
      <c r="R18" s="305">
        <f t="shared" si="26"/>
        <v>1</v>
      </c>
      <c r="S18" s="320">
        <v>14.4</v>
      </c>
      <c r="T18" s="307">
        <f t="shared" si="8"/>
        <v>4</v>
      </c>
      <c r="U18" s="308">
        <f t="shared" si="9"/>
        <v>3</v>
      </c>
      <c r="V18" s="308">
        <f>SUMIFS($D18:U18,$D$6:U$6,V$12,$D$7:U$7,V$7,$D$5:U$5,V$5,$D$4:U$4,"&lt;&gt;"&amp;V$4)</f>
        <v>3</v>
      </c>
      <c r="W18" s="308">
        <f t="shared" si="27"/>
        <v>15</v>
      </c>
      <c r="X18" s="308">
        <f>SUMIFS($D18:W18,$D$6:W$6,X$12,$D$7:W$7,X$7,$D$5:W$5,X$5,$D$4:W$4,"&lt;&gt;"&amp;X$4)</f>
        <v>5</v>
      </c>
      <c r="Y18" s="308">
        <f t="shared" si="27"/>
        <v>12</v>
      </c>
      <c r="Z18" s="317">
        <v>600</v>
      </c>
      <c r="AA18" s="305">
        <f t="shared" si="90"/>
        <v>7</v>
      </c>
      <c r="AB18" s="305">
        <f t="shared" si="29"/>
        <v>3</v>
      </c>
      <c r="AC18" s="318">
        <v>600</v>
      </c>
      <c r="AD18" s="307">
        <f t="shared" si="30"/>
        <v>7</v>
      </c>
      <c r="AE18" s="308">
        <f t="shared" si="31"/>
        <v>3</v>
      </c>
      <c r="AF18" s="317">
        <v>13</v>
      </c>
      <c r="AG18" s="305">
        <f t="shared" si="10"/>
        <v>3</v>
      </c>
      <c r="AH18" s="305">
        <f t="shared" si="32"/>
        <v>4</v>
      </c>
      <c r="AI18" s="320">
        <v>10</v>
      </c>
      <c r="AJ18" s="307">
        <f t="shared" si="11"/>
        <v>5</v>
      </c>
      <c r="AK18" s="308">
        <f t="shared" si="33"/>
        <v>3</v>
      </c>
      <c r="AL18" s="317">
        <v>0.11000000000000001</v>
      </c>
      <c r="AM18" s="305">
        <f t="shared" si="34"/>
        <v>8</v>
      </c>
      <c r="AN18" s="305">
        <f t="shared" si="35"/>
        <v>1</v>
      </c>
      <c r="AO18" s="449"/>
      <c r="AP18" s="449"/>
      <c r="AQ18" s="450"/>
      <c r="AR18" s="308">
        <f>SUMIFS($D18:AQ18,$D$6:AQ$6,AR$12,$D$7:AQ$7,AR$7,$D$5:AQ$5,AR$5,$D$4:AQ$4,"&lt;&gt;"&amp;AR$4)</f>
        <v>8</v>
      </c>
      <c r="AS18" s="308">
        <f t="shared" si="36"/>
        <v>4</v>
      </c>
      <c r="AT18" s="308">
        <f>SUMIFS($D18:AS18,$D$6:AS$6,AT$12,$D$7:AS$7,AT$7,$D$5:AS$5,AT$5,$D$4:AS$4,"&lt;&gt;"&amp;AT$4)</f>
        <v>6</v>
      </c>
      <c r="AU18" s="308">
        <f t="shared" si="36"/>
        <v>6</v>
      </c>
      <c r="AV18" s="317">
        <v>0</v>
      </c>
      <c r="AW18" s="305">
        <f t="shared" si="37"/>
        <v>13</v>
      </c>
      <c r="AX18" s="305">
        <f t="shared" si="38"/>
        <v>1</v>
      </c>
      <c r="AY18" s="318">
        <v>0</v>
      </c>
      <c r="AZ18" s="307">
        <f t="shared" si="39"/>
        <v>14</v>
      </c>
      <c r="BA18" s="308">
        <f t="shared" si="40"/>
        <v>1</v>
      </c>
      <c r="BB18" s="317">
        <v>0</v>
      </c>
      <c r="BC18" s="305">
        <f t="shared" si="41"/>
        <v>8</v>
      </c>
      <c r="BD18" s="305">
        <f t="shared" si="42"/>
        <v>1</v>
      </c>
      <c r="BE18" s="320">
        <v>0</v>
      </c>
      <c r="BF18" s="307">
        <f t="shared" si="43"/>
        <v>8</v>
      </c>
      <c r="BG18" s="308">
        <f t="shared" si="44"/>
        <v>1</v>
      </c>
      <c r="BH18" s="317">
        <v>0</v>
      </c>
      <c r="BI18" s="305">
        <f t="shared" si="45"/>
        <v>9</v>
      </c>
      <c r="BJ18" s="305" cm="1">
        <f t="array" ref="BJ18">_xlfn.IFS(BH18&lt;BH$47, 1, BH18&lt;BH$48,2,BH18&lt;BH$49,3,BH18&lt;BH$50,4,BH18&gt;=BH$50,5)</f>
        <v>1</v>
      </c>
      <c r="BK18" s="319">
        <v>0</v>
      </c>
      <c r="BL18" s="307">
        <f t="shared" si="46"/>
        <v>7</v>
      </c>
      <c r="BM18" s="308">
        <f t="shared" si="47"/>
        <v>1</v>
      </c>
      <c r="BN18" s="308">
        <f>SUMIFS($D18:BM18,$D$6:BM$6,BN$12,$D$7:BM$7,BN$7,$D$5:BM$5,BN$5,$D$4:BM$4,"&lt;&gt;"&amp;BN$4)</f>
        <v>3</v>
      </c>
      <c r="BO18" s="308">
        <f t="shared" ref="BO18" si="97">RANK(BN18,BN$13:BN$42,0)</f>
        <v>14</v>
      </c>
      <c r="BP18" s="308">
        <f>SUMIFS($D18:BO18,$D$6:BO$6,BP$12,$D$7:BO$7,BP$7,$D$5:BO$5,BP$5,$D$4:BO$4,"&lt;&gt;"&amp;BP$4)</f>
        <v>3</v>
      </c>
      <c r="BQ18" s="308">
        <f t="shared" ref="BQ18" si="98">RANK(BP18,BP$13:BP$42,0)</f>
        <v>13</v>
      </c>
      <c r="BR18" s="317">
        <v>0</v>
      </c>
      <c r="BS18" s="305">
        <f t="shared" si="50"/>
        <v>7</v>
      </c>
      <c r="BT18" s="305">
        <f t="shared" si="51"/>
        <v>1</v>
      </c>
      <c r="BU18" s="318">
        <v>0</v>
      </c>
      <c r="BV18" s="307">
        <f t="shared" si="52"/>
        <v>10</v>
      </c>
      <c r="BW18" s="308">
        <f t="shared" si="53"/>
        <v>1</v>
      </c>
      <c r="BX18" s="317">
        <v>0</v>
      </c>
      <c r="BY18" s="305">
        <f t="shared" si="54"/>
        <v>10</v>
      </c>
      <c r="BZ18" s="305">
        <f t="shared" si="55"/>
        <v>1</v>
      </c>
      <c r="CA18" s="318">
        <v>0</v>
      </c>
      <c r="CB18" s="307">
        <f t="shared" si="56"/>
        <v>11</v>
      </c>
      <c r="CC18" s="308">
        <f t="shared" si="57"/>
        <v>1</v>
      </c>
      <c r="CD18" s="317">
        <v>0</v>
      </c>
      <c r="CE18" s="305">
        <f t="shared" si="58"/>
        <v>5</v>
      </c>
      <c r="CF18" s="305">
        <f t="shared" si="59"/>
        <v>1</v>
      </c>
      <c r="CG18" s="320">
        <v>0</v>
      </c>
      <c r="CH18" s="307">
        <f t="shared" si="60"/>
        <v>5</v>
      </c>
      <c r="CI18" s="308">
        <f t="shared" si="61"/>
        <v>1</v>
      </c>
      <c r="CJ18" s="308">
        <f>SUMIFS($D18:CI18,$D$6:CI$6,CJ$12,$D$7:CI$7,CJ$7,$D$5:CI$5,CJ$5,$D$4:CI$4,"&lt;&gt;"&amp;CJ$4)</f>
        <v>3</v>
      </c>
      <c r="CK18" s="308">
        <f t="shared" ref="CK18" si="99">RANK(CJ18,CJ$13:CJ$42,0)</f>
        <v>12</v>
      </c>
      <c r="CL18" s="308">
        <f>SUMIFS($D18:CK18,$D$6:CK$6,CL$12,$D$7:CK$7,CL$7,$D$5:CK$5,CL$5,$D$4:CK$4,"&lt;&gt;"&amp;CL$4)</f>
        <v>3</v>
      </c>
      <c r="CM18" s="308">
        <f t="shared" si="63"/>
        <v>16</v>
      </c>
      <c r="CN18" s="317">
        <v>0</v>
      </c>
      <c r="CO18" s="305">
        <f t="shared" si="64"/>
        <v>8</v>
      </c>
      <c r="CP18" s="305">
        <f t="shared" si="65"/>
        <v>1</v>
      </c>
      <c r="CQ18" s="318">
        <v>0</v>
      </c>
      <c r="CR18" s="307">
        <f t="shared" si="66"/>
        <v>11</v>
      </c>
      <c r="CS18" s="308">
        <f t="shared" si="67"/>
        <v>1</v>
      </c>
      <c r="CT18" s="317">
        <v>0.4</v>
      </c>
      <c r="CU18" s="305">
        <f t="shared" si="12"/>
        <v>11</v>
      </c>
      <c r="CV18" s="305">
        <f t="shared" si="68"/>
        <v>1</v>
      </c>
      <c r="CW18" s="320">
        <v>0.4</v>
      </c>
      <c r="CX18" s="307">
        <f t="shared" si="13"/>
        <v>12</v>
      </c>
      <c r="CY18" s="308">
        <f t="shared" si="69"/>
        <v>1</v>
      </c>
      <c r="CZ18" s="317">
        <v>0</v>
      </c>
      <c r="DA18" s="305">
        <f t="shared" si="94"/>
        <v>8</v>
      </c>
      <c r="DB18" s="305">
        <f t="shared" si="70"/>
        <v>1</v>
      </c>
      <c r="DC18" s="320">
        <v>0</v>
      </c>
      <c r="DD18" s="307">
        <f t="shared" si="15"/>
        <v>8</v>
      </c>
      <c r="DE18" s="308">
        <f t="shared" si="71"/>
        <v>1</v>
      </c>
      <c r="DF18" s="308">
        <f>SUMIFS($D18:DE18,$D$6:DE$6,DF$12,$D$7:DE$7,DF$7,$D$5:DE$5,DF$5,$D$4:DE$4,"&lt;&gt;"&amp;DF$4)</f>
        <v>3</v>
      </c>
      <c r="DG18" s="308">
        <f t="shared" ref="DG18" si="100">RANK(DF18,DF$13:DF$42,0)</f>
        <v>13</v>
      </c>
      <c r="DH18" s="308">
        <f>SUMIFS($D18:DG18,$D$6:DG$6,DH$12,$D$7:DG$7,DH$7,$D$5:DG$5,DH$5,$D$4:DG$4,"&lt;&gt;"&amp;DH$4)</f>
        <v>3</v>
      </c>
      <c r="DI18" s="308">
        <f t="shared" ref="DI18" si="101">RANK(DH18,DH$13:DH$42,0)</f>
        <v>14</v>
      </c>
      <c r="DJ18" s="311" cm="1">
        <f t="array" aca="1" ref="DJ18" ca="1">ROUNDUP(SUMPRODUCT(--($D$7:$DI$7=DJ$7),$D18:$DI18,$D$3:$DI$3),3)</f>
        <v>4</v>
      </c>
      <c r="DK18" s="305">
        <v>18</v>
      </c>
      <c r="DL18" s="319" cm="1">
        <f t="array" aca="1" ref="DL18" ca="1">ROUNDUP(SUMPRODUCT(--($D$7:$DI$7=DL$7),$D18:$DI18,$D$3:$DI$3),3)</f>
        <v>4</v>
      </c>
      <c r="DM18" s="321">
        <f t="shared" ca="1" si="74"/>
        <v>16</v>
      </c>
      <c r="DN18" s="451">
        <f t="shared" ca="1" si="16"/>
        <v>2</v>
      </c>
      <c r="DO18" s="316" t="s">
        <v>339</v>
      </c>
      <c r="DP18" s="322" t="s">
        <v>5</v>
      </c>
      <c r="DQ18" s="633"/>
    </row>
    <row r="19" spans="2:121" s="445" customFormat="1" ht="15" customHeight="1">
      <c r="B19" s="315" t="s">
        <v>5</v>
      </c>
      <c r="C19" s="316" t="s">
        <v>27</v>
      </c>
      <c r="D19" s="317">
        <v>0</v>
      </c>
      <c r="E19" s="305">
        <f t="shared" si="85"/>
        <v>13</v>
      </c>
      <c r="F19" s="305">
        <f t="shared" si="18"/>
        <v>1</v>
      </c>
      <c r="G19" s="318">
        <v>0</v>
      </c>
      <c r="H19" s="307">
        <f t="shared" si="86"/>
        <v>15</v>
      </c>
      <c r="I19" s="386">
        <f t="shared" si="20"/>
        <v>1</v>
      </c>
      <c r="J19" s="317">
        <v>0</v>
      </c>
      <c r="K19" s="305">
        <f t="shared" si="87"/>
        <v>9</v>
      </c>
      <c r="L19" s="305">
        <f t="shared" si="22"/>
        <v>1</v>
      </c>
      <c r="M19" s="320">
        <v>0</v>
      </c>
      <c r="N19" s="307">
        <f t="shared" si="88"/>
        <v>13</v>
      </c>
      <c r="O19" s="308">
        <f t="shared" si="24"/>
        <v>1</v>
      </c>
      <c r="P19" s="317">
        <v>0</v>
      </c>
      <c r="Q19" s="305">
        <f t="shared" si="89"/>
        <v>6</v>
      </c>
      <c r="R19" s="305">
        <f t="shared" si="26"/>
        <v>1</v>
      </c>
      <c r="S19" s="320">
        <v>0</v>
      </c>
      <c r="T19" s="307">
        <f t="shared" si="8"/>
        <v>9</v>
      </c>
      <c r="U19" s="308">
        <f t="shared" si="9"/>
        <v>1</v>
      </c>
      <c r="V19" s="308">
        <f>SUMIFS($D19:U19,$D$6:U$6,V$12,$D$7:U$7,V$7,$D$5:U$5,V$5,$D$4:U$4,"&lt;&gt;"&amp;V$4)</f>
        <v>3</v>
      </c>
      <c r="W19" s="308">
        <f t="shared" si="27"/>
        <v>15</v>
      </c>
      <c r="X19" s="308">
        <f>SUMIFS($D19:W19,$D$6:W$6,X$12,$D$7:W$7,X$7,$D$5:W$5,X$5,$D$4:W$4,"&lt;&gt;"&amp;X$4)</f>
        <v>3</v>
      </c>
      <c r="Y19" s="308">
        <f t="shared" si="27"/>
        <v>15</v>
      </c>
      <c r="Z19" s="317">
        <v>0</v>
      </c>
      <c r="AA19" s="305">
        <f t="shared" si="90"/>
        <v>11</v>
      </c>
      <c r="AB19" s="305">
        <f t="shared" si="29"/>
        <v>1</v>
      </c>
      <c r="AC19" s="318">
        <v>0</v>
      </c>
      <c r="AD19" s="307">
        <f t="shared" si="30"/>
        <v>11</v>
      </c>
      <c r="AE19" s="308">
        <f t="shared" si="31"/>
        <v>1</v>
      </c>
      <c r="AF19" s="317">
        <v>0</v>
      </c>
      <c r="AG19" s="305">
        <f t="shared" si="10"/>
        <v>10</v>
      </c>
      <c r="AH19" s="305">
        <f t="shared" si="32"/>
        <v>1</v>
      </c>
      <c r="AI19" s="320">
        <v>0</v>
      </c>
      <c r="AJ19" s="307">
        <f t="shared" si="11"/>
        <v>10</v>
      </c>
      <c r="AK19" s="308">
        <f t="shared" si="33"/>
        <v>1</v>
      </c>
      <c r="AL19" s="317">
        <v>2</v>
      </c>
      <c r="AM19" s="305">
        <f t="shared" si="34"/>
        <v>6</v>
      </c>
      <c r="AN19" s="305">
        <f t="shared" si="35"/>
        <v>2</v>
      </c>
      <c r="AO19" s="449"/>
      <c r="AP19" s="449"/>
      <c r="AQ19" s="450"/>
      <c r="AR19" s="308">
        <f>SUMIFS($D19:AQ19,$D$6:AQ$6,AR$12,$D$7:AQ$7,AR$7,$D$5:AQ$5,AR$5,$D$4:AQ$4,"&lt;&gt;"&amp;AR$4)</f>
        <v>4</v>
      </c>
      <c r="AS19" s="308">
        <f t="shared" si="36"/>
        <v>13</v>
      </c>
      <c r="AT19" s="308">
        <f>SUMIFS($D19:AS19,$D$6:AS$6,AT$12,$D$7:AS$7,AT$7,$D$5:AS$5,AT$5,$D$4:AS$4,"&lt;&gt;"&amp;AT$4)</f>
        <v>2</v>
      </c>
      <c r="AU19" s="308">
        <f t="shared" si="36"/>
        <v>10</v>
      </c>
      <c r="AV19" s="317">
        <v>0</v>
      </c>
      <c r="AW19" s="305">
        <f t="shared" si="37"/>
        <v>13</v>
      </c>
      <c r="AX19" s="305">
        <f t="shared" si="38"/>
        <v>1</v>
      </c>
      <c r="AY19" s="318">
        <v>0</v>
      </c>
      <c r="AZ19" s="307">
        <f t="shared" si="39"/>
        <v>14</v>
      </c>
      <c r="BA19" s="308">
        <f t="shared" si="40"/>
        <v>1</v>
      </c>
      <c r="BB19" s="317">
        <v>0</v>
      </c>
      <c r="BC19" s="305">
        <f t="shared" si="41"/>
        <v>8</v>
      </c>
      <c r="BD19" s="305">
        <f t="shared" si="42"/>
        <v>1</v>
      </c>
      <c r="BE19" s="320">
        <v>0</v>
      </c>
      <c r="BF19" s="307">
        <f t="shared" si="43"/>
        <v>8</v>
      </c>
      <c r="BG19" s="308">
        <f t="shared" si="44"/>
        <v>1</v>
      </c>
      <c r="BH19" s="317">
        <v>0</v>
      </c>
      <c r="BI19" s="305">
        <f t="shared" si="45"/>
        <v>9</v>
      </c>
      <c r="BJ19" s="305" cm="1">
        <f t="array" ref="BJ19">_xlfn.IFS(BH19&lt;BH$47, 1, BH19&lt;BH$48,2,BH19&lt;BH$49,3,BH19&lt;BH$50,4,BH19&gt;=BH$50,5)</f>
        <v>1</v>
      </c>
      <c r="BK19" s="319">
        <v>0</v>
      </c>
      <c r="BL19" s="307">
        <f t="shared" si="46"/>
        <v>7</v>
      </c>
      <c r="BM19" s="308">
        <f t="shared" si="47"/>
        <v>1</v>
      </c>
      <c r="BN19" s="308">
        <f>SUMIFS($D19:BM19,$D$6:BM$6,BN$12,$D$7:BM$7,BN$7,$D$5:BM$5,BN$5,$D$4:BM$4,"&lt;&gt;"&amp;BN$4)</f>
        <v>3</v>
      </c>
      <c r="BO19" s="308">
        <f t="shared" ref="BO19" si="102">RANK(BN19,BN$13:BN$42,0)</f>
        <v>14</v>
      </c>
      <c r="BP19" s="308">
        <f>SUMIFS($D19:BO19,$D$6:BO$6,BP$12,$D$7:BO$7,BP$7,$D$5:BO$5,BP$5,$D$4:BO$4,"&lt;&gt;"&amp;BP$4)</f>
        <v>3</v>
      </c>
      <c r="BQ19" s="308">
        <f t="shared" ref="BQ19" si="103">RANK(BP19,BP$13:BP$42,0)</f>
        <v>13</v>
      </c>
      <c r="BR19" s="317">
        <v>0</v>
      </c>
      <c r="BS19" s="305">
        <f t="shared" si="50"/>
        <v>7</v>
      </c>
      <c r="BT19" s="305">
        <f t="shared" si="51"/>
        <v>1</v>
      </c>
      <c r="BU19" s="318">
        <v>0</v>
      </c>
      <c r="BV19" s="307">
        <f t="shared" si="52"/>
        <v>10</v>
      </c>
      <c r="BW19" s="308">
        <f t="shared" si="53"/>
        <v>1</v>
      </c>
      <c r="BX19" s="317">
        <v>0</v>
      </c>
      <c r="BY19" s="305">
        <f t="shared" si="54"/>
        <v>10</v>
      </c>
      <c r="BZ19" s="305">
        <f t="shared" si="55"/>
        <v>1</v>
      </c>
      <c r="CA19" s="318">
        <v>0</v>
      </c>
      <c r="CB19" s="307">
        <f t="shared" si="56"/>
        <v>11</v>
      </c>
      <c r="CC19" s="308">
        <f t="shared" si="57"/>
        <v>1</v>
      </c>
      <c r="CD19" s="317">
        <v>0</v>
      </c>
      <c r="CE19" s="305">
        <f t="shared" si="58"/>
        <v>5</v>
      </c>
      <c r="CF19" s="305">
        <f t="shared" si="59"/>
        <v>1</v>
      </c>
      <c r="CG19" s="320">
        <v>0</v>
      </c>
      <c r="CH19" s="307">
        <f t="shared" si="60"/>
        <v>5</v>
      </c>
      <c r="CI19" s="308">
        <f t="shared" si="61"/>
        <v>1</v>
      </c>
      <c r="CJ19" s="308">
        <f>SUMIFS($D19:CI19,$D$6:CI$6,CJ$12,$D$7:CI$7,CJ$7,$D$5:CI$5,CJ$5,$D$4:CI$4,"&lt;&gt;"&amp;CJ$4)</f>
        <v>3</v>
      </c>
      <c r="CK19" s="308">
        <f t="shared" ref="CK19" si="104">RANK(CJ19,CJ$13:CJ$42,0)</f>
        <v>12</v>
      </c>
      <c r="CL19" s="308">
        <f>SUMIFS($D19:CK19,$D$6:CK$6,CL$12,$D$7:CK$7,CL$7,$D$5:CK$5,CL$5,$D$4:CK$4,"&lt;&gt;"&amp;CL$4)</f>
        <v>3</v>
      </c>
      <c r="CM19" s="308">
        <f t="shared" si="63"/>
        <v>16</v>
      </c>
      <c r="CN19" s="317">
        <v>0</v>
      </c>
      <c r="CO19" s="305">
        <f t="shared" si="64"/>
        <v>8</v>
      </c>
      <c r="CP19" s="305">
        <f t="shared" si="65"/>
        <v>1</v>
      </c>
      <c r="CQ19" s="318">
        <v>0</v>
      </c>
      <c r="CR19" s="307">
        <f t="shared" si="66"/>
        <v>11</v>
      </c>
      <c r="CS19" s="308">
        <f t="shared" si="67"/>
        <v>1</v>
      </c>
      <c r="CT19" s="317">
        <v>0</v>
      </c>
      <c r="CU19" s="305">
        <f t="shared" si="12"/>
        <v>12</v>
      </c>
      <c r="CV19" s="305">
        <f t="shared" si="68"/>
        <v>1</v>
      </c>
      <c r="CW19" s="320">
        <v>0</v>
      </c>
      <c r="CX19" s="307">
        <f t="shared" si="13"/>
        <v>13</v>
      </c>
      <c r="CY19" s="308">
        <f t="shared" si="69"/>
        <v>1</v>
      </c>
      <c r="CZ19" s="317">
        <v>0</v>
      </c>
      <c r="DA19" s="305">
        <f t="shared" si="94"/>
        <v>8</v>
      </c>
      <c r="DB19" s="305">
        <f t="shared" si="70"/>
        <v>1</v>
      </c>
      <c r="DC19" s="320">
        <v>0</v>
      </c>
      <c r="DD19" s="307">
        <f t="shared" si="15"/>
        <v>8</v>
      </c>
      <c r="DE19" s="308">
        <f t="shared" si="71"/>
        <v>1</v>
      </c>
      <c r="DF19" s="308">
        <f>SUMIFS($D19:DE19,$D$6:DE$6,DF$12,$D$7:DE$7,DF$7,$D$5:DE$5,DF$5,$D$4:DE$4,"&lt;&gt;"&amp;DF$4)</f>
        <v>3</v>
      </c>
      <c r="DG19" s="308">
        <f t="shared" ref="DG19" si="105">RANK(DF19,DF$13:DF$42,0)</f>
        <v>13</v>
      </c>
      <c r="DH19" s="308">
        <f>SUMIFS($D19:DG19,$D$6:DG$6,DH$12,$D$7:DG$7,DH$7,$D$5:DG$5,DH$5,$D$4:DG$4,"&lt;&gt;"&amp;DH$4)</f>
        <v>3</v>
      </c>
      <c r="DI19" s="308">
        <f t="shared" ref="DI19" si="106">RANK(DH19,DH$13:DH$42,0)</f>
        <v>14</v>
      </c>
      <c r="DJ19" s="311" cm="1">
        <f t="array" aca="1" ref="DJ19" ca="1">ROUNDUP(SUMPRODUCT(--($D$7:$DI$7=DJ$7),$D19:$DI19,$D$3:$DI$3),3)</f>
        <v>3.2</v>
      </c>
      <c r="DK19" s="305">
        <v>24</v>
      </c>
      <c r="DL19" s="319" cm="1">
        <f t="array" aca="1" ref="DL19" ca="1">ROUNDUP(SUMPRODUCT(--($D$7:$DI$7=DL$7),$D19:$DI19,$D$3:$DI$3),3)</f>
        <v>2.8</v>
      </c>
      <c r="DM19" s="321">
        <f t="shared" ca="1" si="74"/>
        <v>24</v>
      </c>
      <c r="DN19" s="451">
        <f t="shared" ca="1" si="16"/>
        <v>0</v>
      </c>
      <c r="DO19" s="316" t="s">
        <v>27</v>
      </c>
      <c r="DP19" s="322" t="s">
        <v>5</v>
      </c>
      <c r="DQ19" s="633"/>
    </row>
    <row r="20" spans="2:121" s="445" customFormat="1" ht="15" customHeight="1">
      <c r="B20" s="315" t="s">
        <v>5</v>
      </c>
      <c r="C20" s="316" t="s">
        <v>340</v>
      </c>
      <c r="D20" s="317">
        <v>0</v>
      </c>
      <c r="E20" s="305">
        <f t="shared" si="85"/>
        <v>13</v>
      </c>
      <c r="F20" s="305">
        <f t="shared" si="18"/>
        <v>1</v>
      </c>
      <c r="G20" s="318">
        <v>0</v>
      </c>
      <c r="H20" s="307">
        <f t="shared" si="86"/>
        <v>15</v>
      </c>
      <c r="I20" s="386">
        <f t="shared" si="20"/>
        <v>1</v>
      </c>
      <c r="J20" s="317">
        <v>0</v>
      </c>
      <c r="K20" s="305">
        <f t="shared" si="87"/>
        <v>9</v>
      </c>
      <c r="L20" s="305">
        <f t="shared" si="22"/>
        <v>1</v>
      </c>
      <c r="M20" s="320">
        <v>0</v>
      </c>
      <c r="N20" s="307">
        <f t="shared" si="88"/>
        <v>13</v>
      </c>
      <c r="O20" s="308">
        <f t="shared" si="24"/>
        <v>1</v>
      </c>
      <c r="P20" s="317">
        <v>0</v>
      </c>
      <c r="Q20" s="305">
        <f t="shared" si="89"/>
        <v>6</v>
      </c>
      <c r="R20" s="305">
        <f t="shared" si="26"/>
        <v>1</v>
      </c>
      <c r="S20" s="320">
        <v>0</v>
      </c>
      <c r="T20" s="307">
        <f t="shared" si="8"/>
        <v>9</v>
      </c>
      <c r="U20" s="308">
        <f t="shared" si="9"/>
        <v>1</v>
      </c>
      <c r="V20" s="308">
        <f>SUMIFS($D20:U20,$D$6:U$6,V$12,$D$7:U$7,V$7,$D$5:U$5,V$5,$D$4:U$4,"&lt;&gt;"&amp;V$4)</f>
        <v>3</v>
      </c>
      <c r="W20" s="308">
        <f t="shared" si="27"/>
        <v>15</v>
      </c>
      <c r="X20" s="308">
        <f>SUMIFS($D20:W20,$D$6:W$6,X$12,$D$7:W$7,X$7,$D$5:W$5,X$5,$D$4:W$4,"&lt;&gt;"&amp;X$4)</f>
        <v>3</v>
      </c>
      <c r="Y20" s="308">
        <f t="shared" si="27"/>
        <v>15</v>
      </c>
      <c r="Z20" s="317">
        <v>0</v>
      </c>
      <c r="AA20" s="305">
        <f t="shared" si="90"/>
        <v>11</v>
      </c>
      <c r="AB20" s="305">
        <f t="shared" si="29"/>
        <v>1</v>
      </c>
      <c r="AC20" s="318">
        <v>0</v>
      </c>
      <c r="AD20" s="307">
        <f t="shared" si="30"/>
        <v>11</v>
      </c>
      <c r="AE20" s="308">
        <f t="shared" si="31"/>
        <v>1</v>
      </c>
      <c r="AF20" s="317">
        <v>0</v>
      </c>
      <c r="AG20" s="305">
        <f t="shared" si="10"/>
        <v>10</v>
      </c>
      <c r="AH20" s="305">
        <f t="shared" si="32"/>
        <v>1</v>
      </c>
      <c r="AI20" s="320">
        <v>0</v>
      </c>
      <c r="AJ20" s="307">
        <f t="shared" si="11"/>
        <v>10</v>
      </c>
      <c r="AK20" s="308">
        <f t="shared" si="33"/>
        <v>1</v>
      </c>
      <c r="AL20" s="317">
        <v>0</v>
      </c>
      <c r="AM20" s="305">
        <f t="shared" si="34"/>
        <v>9</v>
      </c>
      <c r="AN20" s="305">
        <f t="shared" si="35"/>
        <v>1</v>
      </c>
      <c r="AO20" s="449"/>
      <c r="AP20" s="449"/>
      <c r="AQ20" s="450"/>
      <c r="AR20" s="308">
        <f>SUMIFS($D20:AQ20,$D$6:AQ$6,AR$12,$D$7:AQ$7,AR$7,$D$5:AQ$5,AR$5,$D$4:AQ$4,"&lt;&gt;"&amp;AR$4)</f>
        <v>3</v>
      </c>
      <c r="AS20" s="308">
        <f t="shared" si="36"/>
        <v>14</v>
      </c>
      <c r="AT20" s="308">
        <f>SUMIFS($D20:AS20,$D$6:AS$6,AT$12,$D$7:AS$7,AT$7,$D$5:AS$5,AT$5,$D$4:AS$4,"&lt;&gt;"&amp;AT$4)</f>
        <v>2</v>
      </c>
      <c r="AU20" s="308">
        <f t="shared" si="36"/>
        <v>10</v>
      </c>
      <c r="AV20" s="317">
        <v>0</v>
      </c>
      <c r="AW20" s="305">
        <f t="shared" si="37"/>
        <v>13</v>
      </c>
      <c r="AX20" s="305">
        <f t="shared" si="38"/>
        <v>1</v>
      </c>
      <c r="AY20" s="318">
        <v>0</v>
      </c>
      <c r="AZ20" s="307">
        <f t="shared" si="39"/>
        <v>14</v>
      </c>
      <c r="BA20" s="308">
        <f t="shared" si="40"/>
        <v>1</v>
      </c>
      <c r="BB20" s="317">
        <v>0</v>
      </c>
      <c r="BC20" s="305">
        <f t="shared" si="41"/>
        <v>8</v>
      </c>
      <c r="BD20" s="305">
        <f t="shared" si="42"/>
        <v>1</v>
      </c>
      <c r="BE20" s="320">
        <v>0</v>
      </c>
      <c r="BF20" s="307">
        <f t="shared" si="43"/>
        <v>8</v>
      </c>
      <c r="BG20" s="308">
        <f t="shared" si="44"/>
        <v>1</v>
      </c>
      <c r="BH20" s="317">
        <v>0</v>
      </c>
      <c r="BI20" s="305">
        <f t="shared" si="45"/>
        <v>9</v>
      </c>
      <c r="BJ20" s="305" cm="1">
        <f t="array" ref="BJ20">_xlfn.IFS(BH20&lt;BH$47, 1, BH20&lt;BH$48,2,BH20&lt;BH$49,3,BH20&lt;BH$50,4,BH20&gt;=BH$50,5)</f>
        <v>1</v>
      </c>
      <c r="BK20" s="319">
        <v>0</v>
      </c>
      <c r="BL20" s="307">
        <f t="shared" si="46"/>
        <v>7</v>
      </c>
      <c r="BM20" s="308">
        <f t="shared" si="47"/>
        <v>1</v>
      </c>
      <c r="BN20" s="308">
        <f>SUMIFS($D20:BM20,$D$6:BM$6,BN$12,$D$7:BM$7,BN$7,$D$5:BM$5,BN$5,$D$4:BM$4,"&lt;&gt;"&amp;BN$4)</f>
        <v>3</v>
      </c>
      <c r="BO20" s="308">
        <f t="shared" ref="BO20" si="107">RANK(BN20,BN$13:BN$42,0)</f>
        <v>14</v>
      </c>
      <c r="BP20" s="308">
        <f>SUMIFS($D20:BO20,$D$6:BO$6,BP$12,$D$7:BO$7,BP$7,$D$5:BO$5,BP$5,$D$4:BO$4,"&lt;&gt;"&amp;BP$4)</f>
        <v>3</v>
      </c>
      <c r="BQ20" s="308">
        <f t="shared" ref="BQ20" si="108">RANK(BP20,BP$13:BP$42,0)</f>
        <v>13</v>
      </c>
      <c r="BR20" s="317">
        <v>0</v>
      </c>
      <c r="BS20" s="305">
        <f t="shared" si="50"/>
        <v>7</v>
      </c>
      <c r="BT20" s="305">
        <f t="shared" si="51"/>
        <v>1</v>
      </c>
      <c r="BU20" s="318">
        <v>0</v>
      </c>
      <c r="BV20" s="307">
        <f t="shared" si="52"/>
        <v>10</v>
      </c>
      <c r="BW20" s="308">
        <f t="shared" si="53"/>
        <v>1</v>
      </c>
      <c r="BX20" s="317">
        <v>0</v>
      </c>
      <c r="BY20" s="305">
        <f t="shared" si="54"/>
        <v>10</v>
      </c>
      <c r="BZ20" s="305">
        <f t="shared" si="55"/>
        <v>1</v>
      </c>
      <c r="CA20" s="318">
        <v>0</v>
      </c>
      <c r="CB20" s="307">
        <f t="shared" si="56"/>
        <v>11</v>
      </c>
      <c r="CC20" s="308">
        <f t="shared" si="57"/>
        <v>1</v>
      </c>
      <c r="CD20" s="317">
        <v>0</v>
      </c>
      <c r="CE20" s="305">
        <f t="shared" si="58"/>
        <v>5</v>
      </c>
      <c r="CF20" s="305">
        <f t="shared" si="59"/>
        <v>1</v>
      </c>
      <c r="CG20" s="320">
        <v>0</v>
      </c>
      <c r="CH20" s="307">
        <f t="shared" si="60"/>
        <v>5</v>
      </c>
      <c r="CI20" s="308">
        <f t="shared" si="61"/>
        <v>1</v>
      </c>
      <c r="CJ20" s="308">
        <f>SUMIFS($D20:CI20,$D$6:CI$6,CJ$12,$D$7:CI$7,CJ$7,$D$5:CI$5,CJ$5,$D$4:CI$4,"&lt;&gt;"&amp;CJ$4)</f>
        <v>3</v>
      </c>
      <c r="CK20" s="308">
        <f t="shared" ref="CK20" si="109">RANK(CJ20,CJ$13:CJ$42,0)</f>
        <v>12</v>
      </c>
      <c r="CL20" s="308">
        <f>SUMIFS($D20:CK20,$D$6:CK$6,CL$12,$D$7:CK$7,CL$7,$D$5:CK$5,CL$5,$D$4:CK$4,"&lt;&gt;"&amp;CL$4)</f>
        <v>3</v>
      </c>
      <c r="CM20" s="308">
        <f t="shared" si="63"/>
        <v>16</v>
      </c>
      <c r="CN20" s="317">
        <v>0</v>
      </c>
      <c r="CO20" s="305">
        <f t="shared" si="64"/>
        <v>8</v>
      </c>
      <c r="CP20" s="305">
        <f t="shared" si="65"/>
        <v>1</v>
      </c>
      <c r="CQ20" s="318">
        <v>0</v>
      </c>
      <c r="CR20" s="307">
        <f t="shared" si="66"/>
        <v>11</v>
      </c>
      <c r="CS20" s="308">
        <f t="shared" si="67"/>
        <v>1</v>
      </c>
      <c r="CT20" s="317">
        <v>0</v>
      </c>
      <c r="CU20" s="305">
        <f t="shared" si="12"/>
        <v>12</v>
      </c>
      <c r="CV20" s="305">
        <f t="shared" si="68"/>
        <v>1</v>
      </c>
      <c r="CW20" s="320">
        <v>0</v>
      </c>
      <c r="CX20" s="307">
        <f t="shared" si="13"/>
        <v>13</v>
      </c>
      <c r="CY20" s="308">
        <f t="shared" si="69"/>
        <v>1</v>
      </c>
      <c r="CZ20" s="317">
        <v>0</v>
      </c>
      <c r="DA20" s="305">
        <f t="shared" si="94"/>
        <v>8</v>
      </c>
      <c r="DB20" s="305">
        <f t="shared" si="70"/>
        <v>1</v>
      </c>
      <c r="DC20" s="320">
        <v>0</v>
      </c>
      <c r="DD20" s="307">
        <f t="shared" si="15"/>
        <v>8</v>
      </c>
      <c r="DE20" s="308">
        <f t="shared" si="71"/>
        <v>1</v>
      </c>
      <c r="DF20" s="308">
        <f>SUMIFS($D20:DE20,$D$6:DE$6,DF$12,$D$7:DE$7,DF$7,$D$5:DE$5,DF$5,$D$4:DE$4,"&lt;&gt;"&amp;DF$4)</f>
        <v>3</v>
      </c>
      <c r="DG20" s="308">
        <f t="shared" ref="DG20" si="110">RANK(DF20,DF$13:DF$42,0)</f>
        <v>13</v>
      </c>
      <c r="DH20" s="308">
        <f>SUMIFS($D20:DG20,$D$6:DG$6,DH$12,$D$7:DG$7,DH$7,$D$5:DG$5,DH$5,$D$4:DG$4,"&lt;&gt;"&amp;DH$4)</f>
        <v>3</v>
      </c>
      <c r="DI20" s="308">
        <f t="shared" ref="DI20" si="111">RANK(DH20,DH$13:DH$42,0)</f>
        <v>14</v>
      </c>
      <c r="DJ20" s="311" cm="1">
        <f t="array" aca="1" ref="DJ20" ca="1">ROUNDUP(SUMPRODUCT(--($D$7:$DI$7=DJ$7),$D20:$DI20,$D$3:$DI$3),3)</f>
        <v>3</v>
      </c>
      <c r="DK20" s="305">
        <v>26</v>
      </c>
      <c r="DL20" s="319" cm="1">
        <f t="array" aca="1" ref="DL20" ca="1">ROUNDUP(SUMPRODUCT(--($D$7:$DI$7=DL$7),$D20:$DI20,$D$3:$DI$3),3)</f>
        <v>2.8</v>
      </c>
      <c r="DM20" s="321">
        <f t="shared" ca="1" si="74"/>
        <v>24</v>
      </c>
      <c r="DN20" s="451">
        <f t="shared" ca="1" si="16"/>
        <v>2</v>
      </c>
      <c r="DO20" s="316" t="s">
        <v>340</v>
      </c>
      <c r="DP20" s="322" t="s">
        <v>5</v>
      </c>
      <c r="DQ20" s="633"/>
    </row>
    <row r="21" spans="2:121" s="445" customFormat="1" ht="15" customHeight="1">
      <c r="B21" s="315" t="s">
        <v>5</v>
      </c>
      <c r="C21" s="316" t="s">
        <v>28</v>
      </c>
      <c r="D21" s="317">
        <v>0</v>
      </c>
      <c r="E21" s="305">
        <f t="shared" si="85"/>
        <v>13</v>
      </c>
      <c r="F21" s="305">
        <f t="shared" si="18"/>
        <v>1</v>
      </c>
      <c r="G21" s="318">
        <v>0</v>
      </c>
      <c r="H21" s="307">
        <f t="shared" si="86"/>
        <v>15</v>
      </c>
      <c r="I21" s="386">
        <f t="shared" si="20"/>
        <v>1</v>
      </c>
      <c r="J21" s="317">
        <v>0</v>
      </c>
      <c r="K21" s="305">
        <f t="shared" si="87"/>
        <v>9</v>
      </c>
      <c r="L21" s="305">
        <f t="shared" si="22"/>
        <v>1</v>
      </c>
      <c r="M21" s="320">
        <v>0</v>
      </c>
      <c r="N21" s="307">
        <f t="shared" si="88"/>
        <v>13</v>
      </c>
      <c r="O21" s="308">
        <f t="shared" si="24"/>
        <v>1</v>
      </c>
      <c r="P21" s="317">
        <v>0</v>
      </c>
      <c r="Q21" s="305">
        <f t="shared" si="89"/>
        <v>6</v>
      </c>
      <c r="R21" s="305">
        <f t="shared" si="26"/>
        <v>1</v>
      </c>
      <c r="S21" s="320">
        <v>0</v>
      </c>
      <c r="T21" s="307">
        <f t="shared" si="8"/>
        <v>9</v>
      </c>
      <c r="U21" s="308">
        <f t="shared" si="9"/>
        <v>1</v>
      </c>
      <c r="V21" s="308">
        <f>SUMIFS($D21:U21,$D$6:U$6,V$12,$D$7:U$7,V$7,$D$5:U$5,V$5,$D$4:U$4,"&lt;&gt;"&amp;V$4)</f>
        <v>3</v>
      </c>
      <c r="W21" s="308">
        <f t="shared" si="27"/>
        <v>15</v>
      </c>
      <c r="X21" s="308">
        <f>SUMIFS($D21:W21,$D$6:W$6,X$12,$D$7:W$7,X$7,$D$5:W$5,X$5,$D$4:W$4,"&lt;&gt;"&amp;X$4)</f>
        <v>3</v>
      </c>
      <c r="Y21" s="308">
        <f t="shared" si="27"/>
        <v>15</v>
      </c>
      <c r="Z21" s="317">
        <v>0</v>
      </c>
      <c r="AA21" s="305">
        <f t="shared" si="90"/>
        <v>11</v>
      </c>
      <c r="AB21" s="305">
        <f t="shared" si="29"/>
        <v>1</v>
      </c>
      <c r="AC21" s="318">
        <v>0</v>
      </c>
      <c r="AD21" s="307">
        <f t="shared" si="30"/>
        <v>11</v>
      </c>
      <c r="AE21" s="308">
        <f t="shared" si="31"/>
        <v>1</v>
      </c>
      <c r="AF21" s="317">
        <v>0</v>
      </c>
      <c r="AG21" s="305">
        <f t="shared" si="10"/>
        <v>10</v>
      </c>
      <c r="AH21" s="305">
        <f t="shared" si="32"/>
        <v>1</v>
      </c>
      <c r="AI21" s="320">
        <v>0</v>
      </c>
      <c r="AJ21" s="307">
        <f t="shared" si="11"/>
        <v>10</v>
      </c>
      <c r="AK21" s="308">
        <f t="shared" si="33"/>
        <v>1</v>
      </c>
      <c r="AL21" s="317">
        <v>4.0837500000000002</v>
      </c>
      <c r="AM21" s="305">
        <f t="shared" si="34"/>
        <v>4</v>
      </c>
      <c r="AN21" s="305">
        <f t="shared" si="35"/>
        <v>3</v>
      </c>
      <c r="AO21" s="449"/>
      <c r="AP21" s="449"/>
      <c r="AQ21" s="450"/>
      <c r="AR21" s="308">
        <f>SUMIFS($D21:AQ21,$D$6:AQ$6,AR$12,$D$7:AQ$7,AR$7,$D$5:AQ$5,AR$5,$D$4:AQ$4,"&lt;&gt;"&amp;AR$4)</f>
        <v>5</v>
      </c>
      <c r="AS21" s="308">
        <f t="shared" si="36"/>
        <v>11</v>
      </c>
      <c r="AT21" s="308">
        <f>SUMIFS($D21:AS21,$D$6:AS$6,AT$12,$D$7:AS$7,AT$7,$D$5:AS$5,AT$5,$D$4:AS$4,"&lt;&gt;"&amp;AT$4)</f>
        <v>2</v>
      </c>
      <c r="AU21" s="308">
        <f t="shared" si="36"/>
        <v>10</v>
      </c>
      <c r="AV21" s="317">
        <v>0</v>
      </c>
      <c r="AW21" s="305">
        <f t="shared" si="37"/>
        <v>13</v>
      </c>
      <c r="AX21" s="305">
        <f t="shared" si="38"/>
        <v>1</v>
      </c>
      <c r="AY21" s="318">
        <v>0</v>
      </c>
      <c r="AZ21" s="307">
        <f t="shared" si="39"/>
        <v>14</v>
      </c>
      <c r="BA21" s="308">
        <f t="shared" si="40"/>
        <v>1</v>
      </c>
      <c r="BB21" s="317">
        <v>0</v>
      </c>
      <c r="BC21" s="305">
        <f t="shared" si="41"/>
        <v>8</v>
      </c>
      <c r="BD21" s="305">
        <f t="shared" si="42"/>
        <v>1</v>
      </c>
      <c r="BE21" s="320">
        <v>0</v>
      </c>
      <c r="BF21" s="307">
        <f t="shared" si="43"/>
        <v>8</v>
      </c>
      <c r="BG21" s="308">
        <f t="shared" si="44"/>
        <v>1</v>
      </c>
      <c r="BH21" s="317">
        <v>0</v>
      </c>
      <c r="BI21" s="305">
        <f t="shared" si="45"/>
        <v>9</v>
      </c>
      <c r="BJ21" s="305" cm="1">
        <f t="array" ref="BJ21">_xlfn.IFS(BH21&lt;BH$47, 1, BH21&lt;BH$48,2,BH21&lt;BH$49,3,BH21&lt;BH$50,4,BH21&gt;=BH$50,5)</f>
        <v>1</v>
      </c>
      <c r="BK21" s="319">
        <v>0</v>
      </c>
      <c r="BL21" s="307">
        <f>RANK(BK21,$BK$13:$BK$42,0)</f>
        <v>7</v>
      </c>
      <c r="BM21" s="308">
        <f t="shared" si="47"/>
        <v>1</v>
      </c>
      <c r="BN21" s="308">
        <f>SUMIFS($D21:BM21,$D$6:BM$6,BN$12,$D$7:BM$7,BN$7,$D$5:BM$5,BN$5,$D$4:BM$4,"&lt;&gt;"&amp;BN$4)</f>
        <v>3</v>
      </c>
      <c r="BO21" s="308">
        <f t="shared" ref="BO21" si="112">RANK(BN21,BN$13:BN$42,0)</f>
        <v>14</v>
      </c>
      <c r="BP21" s="308">
        <f>SUMIFS($D21:BO21,$D$6:BO$6,BP$12,$D$7:BO$7,BP$7,$D$5:BO$5,BP$5,$D$4:BO$4,"&lt;&gt;"&amp;BP$4)</f>
        <v>3</v>
      </c>
      <c r="BQ21" s="308">
        <f t="shared" ref="BQ21" si="113">RANK(BP21,BP$13:BP$42,0)</f>
        <v>13</v>
      </c>
      <c r="BR21" s="317">
        <v>0</v>
      </c>
      <c r="BS21" s="305">
        <f t="shared" si="50"/>
        <v>7</v>
      </c>
      <c r="BT21" s="305">
        <f t="shared" si="51"/>
        <v>1</v>
      </c>
      <c r="BU21" s="318">
        <v>0</v>
      </c>
      <c r="BV21" s="307">
        <f t="shared" si="52"/>
        <v>10</v>
      </c>
      <c r="BW21" s="308">
        <f t="shared" si="53"/>
        <v>1</v>
      </c>
      <c r="BX21" s="317">
        <v>0</v>
      </c>
      <c r="BY21" s="305">
        <f t="shared" si="54"/>
        <v>10</v>
      </c>
      <c r="BZ21" s="305">
        <f t="shared" si="55"/>
        <v>1</v>
      </c>
      <c r="CA21" s="318">
        <v>0</v>
      </c>
      <c r="CB21" s="307">
        <f t="shared" si="56"/>
        <v>11</v>
      </c>
      <c r="CC21" s="308">
        <f t="shared" si="57"/>
        <v>1</v>
      </c>
      <c r="CD21" s="317">
        <v>0</v>
      </c>
      <c r="CE21" s="305">
        <f t="shared" si="58"/>
        <v>5</v>
      </c>
      <c r="CF21" s="305">
        <f t="shared" si="59"/>
        <v>1</v>
      </c>
      <c r="CG21" s="320">
        <v>0</v>
      </c>
      <c r="CH21" s="307">
        <f t="shared" si="60"/>
        <v>5</v>
      </c>
      <c r="CI21" s="308">
        <f t="shared" si="61"/>
        <v>1</v>
      </c>
      <c r="CJ21" s="308">
        <f>SUMIFS($D21:CI21,$D$6:CI$6,CJ$12,$D$7:CI$7,CJ$7,$D$5:CI$5,CJ$5,$D$4:CI$4,"&lt;&gt;"&amp;CJ$4)</f>
        <v>3</v>
      </c>
      <c r="CK21" s="308">
        <f t="shared" ref="CK21" si="114">RANK(CJ21,CJ$13:CJ$42,0)</f>
        <v>12</v>
      </c>
      <c r="CL21" s="308">
        <f>SUMIFS($D21:CK21,$D$6:CK$6,CL$12,$D$7:CK$7,CL$7,$D$5:CK$5,CL$5,$D$4:CK$4,"&lt;&gt;"&amp;CL$4)</f>
        <v>3</v>
      </c>
      <c r="CM21" s="308">
        <f t="shared" si="63"/>
        <v>16</v>
      </c>
      <c r="CN21" s="317">
        <v>0</v>
      </c>
      <c r="CO21" s="305">
        <f t="shared" si="64"/>
        <v>8</v>
      </c>
      <c r="CP21" s="305">
        <f t="shared" si="65"/>
        <v>1</v>
      </c>
      <c r="CQ21" s="318">
        <v>0</v>
      </c>
      <c r="CR21" s="307">
        <f t="shared" si="66"/>
        <v>11</v>
      </c>
      <c r="CS21" s="308">
        <f t="shared" si="67"/>
        <v>1</v>
      </c>
      <c r="CT21" s="317">
        <v>0</v>
      </c>
      <c r="CU21" s="305">
        <f t="shared" si="12"/>
        <v>12</v>
      </c>
      <c r="CV21" s="305">
        <f t="shared" si="68"/>
        <v>1</v>
      </c>
      <c r="CW21" s="320">
        <v>0</v>
      </c>
      <c r="CX21" s="307">
        <f t="shared" si="13"/>
        <v>13</v>
      </c>
      <c r="CY21" s="308">
        <f t="shared" si="69"/>
        <v>1</v>
      </c>
      <c r="CZ21" s="317">
        <v>0</v>
      </c>
      <c r="DA21" s="305">
        <f t="shared" si="94"/>
        <v>8</v>
      </c>
      <c r="DB21" s="305">
        <f t="shared" si="70"/>
        <v>1</v>
      </c>
      <c r="DC21" s="320">
        <v>0</v>
      </c>
      <c r="DD21" s="307">
        <f t="shared" si="15"/>
        <v>8</v>
      </c>
      <c r="DE21" s="308">
        <f t="shared" si="71"/>
        <v>1</v>
      </c>
      <c r="DF21" s="308">
        <f>SUMIFS($D21:DE21,$D$6:DE$6,DF$12,$D$7:DE$7,DF$7,$D$5:DE$5,DF$5,$D$4:DE$4,"&lt;&gt;"&amp;DF$4)</f>
        <v>3</v>
      </c>
      <c r="DG21" s="308">
        <f t="shared" ref="DG21" si="115">RANK(DF21,DF$13:DF$42,0)</f>
        <v>13</v>
      </c>
      <c r="DH21" s="308">
        <f>SUMIFS($D21:DG21,$D$6:DG$6,DH$12,$D$7:DG$7,DH$7,$D$5:DG$5,DH$5,$D$4:DG$4,"&lt;&gt;"&amp;DH$4)</f>
        <v>3</v>
      </c>
      <c r="DI21" s="308">
        <f t="shared" ref="DI21" si="116">RANK(DH21,DH$13:DH$42,0)</f>
        <v>14</v>
      </c>
      <c r="DJ21" s="311" cm="1">
        <f t="array" aca="1" ref="DJ21" ca="1">ROUNDUP(SUMPRODUCT(--($D$7:$DI$7=DJ$7),$D21:$DI21,$D$3:$DI$3),3)</f>
        <v>3.4</v>
      </c>
      <c r="DK21" s="305">
        <v>21</v>
      </c>
      <c r="DL21" s="319" cm="1">
        <f t="array" aca="1" ref="DL21" ca="1">ROUNDUP(SUMPRODUCT(--($D$7:$DI$7=DL$7),$D21:$DI21,$D$3:$DI$3),3)</f>
        <v>2.8</v>
      </c>
      <c r="DM21" s="321">
        <f t="shared" ca="1" si="74"/>
        <v>24</v>
      </c>
      <c r="DN21" s="451">
        <f t="shared" ca="1" si="16"/>
        <v>-3</v>
      </c>
      <c r="DO21" s="316" t="s">
        <v>28</v>
      </c>
      <c r="DP21" s="322" t="s">
        <v>5</v>
      </c>
      <c r="DQ21" s="633"/>
    </row>
    <row r="22" spans="2:121" s="445" customFormat="1" ht="15" customHeight="1">
      <c r="B22" s="315" t="s">
        <v>5</v>
      </c>
      <c r="C22" s="316" t="s">
        <v>341</v>
      </c>
      <c r="D22" s="317">
        <v>0</v>
      </c>
      <c r="E22" s="305">
        <f t="shared" si="85"/>
        <v>13</v>
      </c>
      <c r="F22" s="305">
        <f t="shared" si="18"/>
        <v>1</v>
      </c>
      <c r="G22" s="318">
        <v>36</v>
      </c>
      <c r="H22" s="307">
        <f t="shared" si="86"/>
        <v>10</v>
      </c>
      <c r="I22" s="386">
        <f t="shared" si="20"/>
        <v>2</v>
      </c>
      <c r="J22" s="317">
        <v>0.5</v>
      </c>
      <c r="K22" s="305">
        <f t="shared" si="87"/>
        <v>8</v>
      </c>
      <c r="L22" s="305">
        <f t="shared" si="22"/>
        <v>2</v>
      </c>
      <c r="M22" s="320">
        <v>0.5</v>
      </c>
      <c r="N22" s="307">
        <f t="shared" si="88"/>
        <v>11</v>
      </c>
      <c r="O22" s="308">
        <f t="shared" si="24"/>
        <v>2</v>
      </c>
      <c r="P22" s="317">
        <v>0</v>
      </c>
      <c r="Q22" s="305">
        <f t="shared" si="89"/>
        <v>6</v>
      </c>
      <c r="R22" s="305">
        <f t="shared" si="26"/>
        <v>1</v>
      </c>
      <c r="S22" s="320">
        <v>0</v>
      </c>
      <c r="T22" s="307">
        <f t="shared" si="8"/>
        <v>9</v>
      </c>
      <c r="U22" s="308">
        <f t="shared" si="9"/>
        <v>1</v>
      </c>
      <c r="V22" s="308">
        <f>SUMIFS($D22:U22,$D$6:U$6,V$12,$D$7:U$7,V$7,$D$5:U$5,V$5,$D$4:U$4,"&lt;&gt;"&amp;V$4)</f>
        <v>4</v>
      </c>
      <c r="W22" s="308">
        <f t="shared" si="27"/>
        <v>11</v>
      </c>
      <c r="X22" s="308">
        <f>SUMIFS($D22:W22,$D$6:W$6,X$12,$D$7:W$7,X$7,$D$5:W$5,X$5,$D$4:W$4,"&lt;&gt;"&amp;X$4)</f>
        <v>5</v>
      </c>
      <c r="Y22" s="308">
        <f t="shared" si="27"/>
        <v>12</v>
      </c>
      <c r="Z22" s="317">
        <v>90000</v>
      </c>
      <c r="AA22" s="305">
        <f t="shared" si="90"/>
        <v>1</v>
      </c>
      <c r="AB22" s="305">
        <f t="shared" si="29"/>
        <v>5</v>
      </c>
      <c r="AC22" s="318">
        <v>0</v>
      </c>
      <c r="AD22" s="307">
        <f t="shared" si="30"/>
        <v>11</v>
      </c>
      <c r="AE22" s="308">
        <f t="shared" si="31"/>
        <v>1</v>
      </c>
      <c r="AF22" s="317">
        <v>2.7</v>
      </c>
      <c r="AG22" s="305">
        <f t="shared" si="10"/>
        <v>8</v>
      </c>
      <c r="AH22" s="305">
        <f t="shared" si="32"/>
        <v>2</v>
      </c>
      <c r="AI22" s="320">
        <v>0</v>
      </c>
      <c r="AJ22" s="307">
        <f t="shared" si="11"/>
        <v>10</v>
      </c>
      <c r="AK22" s="308">
        <f t="shared" si="33"/>
        <v>1</v>
      </c>
      <c r="AL22" s="317">
        <v>0</v>
      </c>
      <c r="AM22" s="305">
        <f t="shared" si="34"/>
        <v>9</v>
      </c>
      <c r="AN22" s="305">
        <f t="shared" si="35"/>
        <v>1</v>
      </c>
      <c r="AO22" s="449"/>
      <c r="AP22" s="449"/>
      <c r="AQ22" s="450"/>
      <c r="AR22" s="308">
        <f>SUMIFS($D22:AQ22,$D$6:AQ$6,AR$12,$D$7:AQ$7,AR$7,$D$5:AQ$5,AR$5,$D$4:AQ$4,"&lt;&gt;"&amp;AR$4)</f>
        <v>8</v>
      </c>
      <c r="AS22" s="308">
        <f t="shared" si="36"/>
        <v>4</v>
      </c>
      <c r="AT22" s="308">
        <f>SUMIFS($D22:AS22,$D$6:AS$6,AT$12,$D$7:AS$7,AT$7,$D$5:AS$5,AT$5,$D$4:AS$4,"&lt;&gt;"&amp;AT$4)</f>
        <v>2</v>
      </c>
      <c r="AU22" s="308">
        <f t="shared" si="36"/>
        <v>10</v>
      </c>
      <c r="AV22" s="317">
        <v>0</v>
      </c>
      <c r="AW22" s="305">
        <f t="shared" si="37"/>
        <v>13</v>
      </c>
      <c r="AX22" s="305">
        <f t="shared" si="38"/>
        <v>1</v>
      </c>
      <c r="AY22" s="318">
        <v>0</v>
      </c>
      <c r="AZ22" s="307">
        <f t="shared" si="39"/>
        <v>14</v>
      </c>
      <c r="BA22" s="308">
        <f t="shared" si="40"/>
        <v>1</v>
      </c>
      <c r="BB22" s="317">
        <v>0</v>
      </c>
      <c r="BC22" s="305">
        <f t="shared" si="41"/>
        <v>8</v>
      </c>
      <c r="BD22" s="305">
        <f t="shared" si="42"/>
        <v>1</v>
      </c>
      <c r="BE22" s="320">
        <v>0</v>
      </c>
      <c r="BF22" s="307">
        <f t="shared" si="43"/>
        <v>8</v>
      </c>
      <c r="BG22" s="308">
        <f t="shared" si="44"/>
        <v>1</v>
      </c>
      <c r="BH22" s="317">
        <v>0.5</v>
      </c>
      <c r="BI22" s="305">
        <f t="shared" si="45"/>
        <v>8</v>
      </c>
      <c r="BJ22" s="305" cm="1">
        <f t="array" ref="BJ22">_xlfn.IFS(BH22&lt;BH$47, 1, BH22&lt;BH$48,2,BH22&lt;BH$49,3,BH22&lt;BH$50,4,BH22&gt;=BH$50,5)</f>
        <v>2</v>
      </c>
      <c r="BK22" s="319">
        <v>0</v>
      </c>
      <c r="BL22" s="307">
        <f t="shared" ref="BL22:BL42" si="117">RANK(BK22,$BK$13:$BK$42,0)</f>
        <v>7</v>
      </c>
      <c r="BM22" s="308">
        <f t="shared" si="47"/>
        <v>1</v>
      </c>
      <c r="BN22" s="308">
        <f>SUMIFS($D22:BM22,$D$6:BM$6,BN$12,$D$7:BM$7,BN$7,$D$5:BM$5,BN$5,$D$4:BM$4,"&lt;&gt;"&amp;BN$4)</f>
        <v>4</v>
      </c>
      <c r="BO22" s="308">
        <f t="shared" ref="BO22" si="118">RANK(BN22,BN$13:BN$42,0)</f>
        <v>11</v>
      </c>
      <c r="BP22" s="308">
        <f>SUMIFS($D22:BO22,$D$6:BO$6,BP$12,$D$7:BO$7,BP$7,$D$5:BO$5,BP$5,$D$4:BO$4,"&lt;&gt;"&amp;BP$4)</f>
        <v>3</v>
      </c>
      <c r="BQ22" s="308">
        <f t="shared" ref="BQ22" si="119">RANK(BP22,BP$13:BP$42,0)</f>
        <v>13</v>
      </c>
      <c r="BR22" s="317">
        <v>0</v>
      </c>
      <c r="BS22" s="305">
        <f t="shared" si="50"/>
        <v>7</v>
      </c>
      <c r="BT22" s="305">
        <f t="shared" si="51"/>
        <v>1</v>
      </c>
      <c r="BU22" s="318">
        <v>0</v>
      </c>
      <c r="BV22" s="307">
        <f t="shared" si="52"/>
        <v>10</v>
      </c>
      <c r="BW22" s="308">
        <f t="shared" si="53"/>
        <v>1</v>
      </c>
      <c r="BX22" s="317">
        <v>210.30868800000002</v>
      </c>
      <c r="BY22" s="305">
        <f t="shared" si="54"/>
        <v>6</v>
      </c>
      <c r="BZ22" s="305">
        <f t="shared" si="55"/>
        <v>3</v>
      </c>
      <c r="CA22" s="318">
        <v>210</v>
      </c>
      <c r="CB22" s="307">
        <f t="shared" si="56"/>
        <v>6</v>
      </c>
      <c r="CC22" s="308">
        <f t="shared" si="57"/>
        <v>3</v>
      </c>
      <c r="CD22" s="317">
        <v>0</v>
      </c>
      <c r="CE22" s="305">
        <f t="shared" si="58"/>
        <v>5</v>
      </c>
      <c r="CF22" s="305">
        <f t="shared" si="59"/>
        <v>1</v>
      </c>
      <c r="CG22" s="320">
        <v>0</v>
      </c>
      <c r="CH22" s="307">
        <f t="shared" si="60"/>
        <v>5</v>
      </c>
      <c r="CI22" s="308">
        <f t="shared" si="61"/>
        <v>1</v>
      </c>
      <c r="CJ22" s="308">
        <f>SUMIFS($D22:CI22,$D$6:CI$6,CJ$12,$D$7:CI$7,CJ$7,$D$5:CI$5,CJ$5,$D$4:CI$4,"&lt;&gt;"&amp;CJ$4)</f>
        <v>5</v>
      </c>
      <c r="CK22" s="308">
        <f t="shared" ref="CK22" si="120">RANK(CJ22,CJ$13:CJ$42,0)</f>
        <v>7</v>
      </c>
      <c r="CL22" s="308">
        <f>SUMIFS($D22:CK22,$D$6:CK$6,CL$12,$D$7:CK$7,CL$7,$D$5:CK$5,CL$5,$D$4:CK$4,"&lt;&gt;"&amp;CL$4)</f>
        <v>5</v>
      </c>
      <c r="CM22" s="308">
        <f t="shared" si="63"/>
        <v>8</v>
      </c>
      <c r="CN22" s="317">
        <v>0</v>
      </c>
      <c r="CO22" s="305">
        <f t="shared" si="64"/>
        <v>8</v>
      </c>
      <c r="CP22" s="305">
        <f t="shared" si="65"/>
        <v>1</v>
      </c>
      <c r="CQ22" s="318">
        <v>644.52</v>
      </c>
      <c r="CR22" s="307">
        <f t="shared" si="66"/>
        <v>9</v>
      </c>
      <c r="CS22" s="308">
        <f t="shared" si="67"/>
        <v>2</v>
      </c>
      <c r="CT22" s="317">
        <v>10</v>
      </c>
      <c r="CU22" s="305">
        <f t="shared" si="12"/>
        <v>10</v>
      </c>
      <c r="CV22" s="305">
        <f t="shared" si="68"/>
        <v>1</v>
      </c>
      <c r="CW22" s="320">
        <v>10</v>
      </c>
      <c r="CX22" s="307">
        <f t="shared" si="13"/>
        <v>10</v>
      </c>
      <c r="CY22" s="308">
        <f t="shared" si="69"/>
        <v>2</v>
      </c>
      <c r="CZ22" s="317">
        <v>0</v>
      </c>
      <c r="DA22" s="305">
        <f t="shared" si="94"/>
        <v>8</v>
      </c>
      <c r="DB22" s="305">
        <f t="shared" si="70"/>
        <v>1</v>
      </c>
      <c r="DC22" s="320">
        <v>0</v>
      </c>
      <c r="DD22" s="307">
        <f t="shared" si="15"/>
        <v>8</v>
      </c>
      <c r="DE22" s="308">
        <f t="shared" si="71"/>
        <v>1</v>
      </c>
      <c r="DF22" s="308">
        <f>SUMIFS($D22:DE22,$D$6:DE$6,DF$12,$D$7:DE$7,DF$7,$D$5:DE$5,DF$5,$D$4:DE$4,"&lt;&gt;"&amp;DF$4)</f>
        <v>3</v>
      </c>
      <c r="DG22" s="308">
        <f t="shared" ref="DG22" si="121">RANK(DF22,DF$13:DF$42,0)</f>
        <v>13</v>
      </c>
      <c r="DH22" s="308">
        <f>SUMIFS($D22:DG22,$D$6:DG$6,DH$12,$D$7:DG$7,DH$7,$D$5:DG$5,DH$5,$D$4:DG$4,"&lt;&gt;"&amp;DH$4)</f>
        <v>5</v>
      </c>
      <c r="DI22" s="308">
        <f t="shared" ref="DI22" si="122">RANK(DH22,DH$13:DH$42,0)</f>
        <v>9</v>
      </c>
      <c r="DJ22" s="311" cm="1">
        <f t="array" aca="1" ref="DJ22" ca="1">ROUNDUP(SUMPRODUCT(--($D$7:$DI$7=DJ$7),$D22:$DI22,$D$3:$DI$3),3)</f>
        <v>4.8</v>
      </c>
      <c r="DK22" s="305">
        <v>15</v>
      </c>
      <c r="DL22" s="319" cm="1">
        <f t="array" aca="1" ref="DL22" ca="1">ROUNDUP(SUMPRODUCT(--($D$7:$DI$7=DL$7),$D22:$DI22,$D$3:$DI$3),3)</f>
        <v>4</v>
      </c>
      <c r="DM22" s="321">
        <f t="shared" ca="1" si="74"/>
        <v>16</v>
      </c>
      <c r="DN22" s="451">
        <f t="shared" ca="1" si="16"/>
        <v>-1</v>
      </c>
      <c r="DO22" s="316" t="s">
        <v>341</v>
      </c>
      <c r="DP22" s="322" t="s">
        <v>5</v>
      </c>
      <c r="DQ22" s="633"/>
    </row>
    <row r="23" spans="2:121" s="445" customFormat="1" ht="15" customHeight="1">
      <c r="B23" s="323" t="s">
        <v>5</v>
      </c>
      <c r="C23" s="324" t="s">
        <v>342</v>
      </c>
      <c r="D23" s="325">
        <v>0</v>
      </c>
      <c r="E23" s="326">
        <f t="shared" si="85"/>
        <v>13</v>
      </c>
      <c r="F23" s="326">
        <f t="shared" si="18"/>
        <v>1</v>
      </c>
      <c r="G23" s="327">
        <v>0</v>
      </c>
      <c r="H23" s="328">
        <f t="shared" si="86"/>
        <v>15</v>
      </c>
      <c r="I23" s="389">
        <f t="shared" si="20"/>
        <v>1</v>
      </c>
      <c r="J23" s="325">
        <v>0</v>
      </c>
      <c r="K23" s="326">
        <f t="shared" si="87"/>
        <v>9</v>
      </c>
      <c r="L23" s="326">
        <f t="shared" si="22"/>
        <v>1</v>
      </c>
      <c r="M23" s="330">
        <v>0</v>
      </c>
      <c r="N23" s="328">
        <f t="shared" si="88"/>
        <v>13</v>
      </c>
      <c r="O23" s="329">
        <f t="shared" si="24"/>
        <v>1</v>
      </c>
      <c r="P23" s="325">
        <v>0</v>
      </c>
      <c r="Q23" s="326">
        <f t="shared" si="89"/>
        <v>6</v>
      </c>
      <c r="R23" s="326">
        <f t="shared" si="26"/>
        <v>1</v>
      </c>
      <c r="S23" s="330">
        <v>0</v>
      </c>
      <c r="T23" s="328">
        <f t="shared" si="8"/>
        <v>9</v>
      </c>
      <c r="U23" s="329">
        <f t="shared" si="9"/>
        <v>1</v>
      </c>
      <c r="V23" s="329">
        <f>SUMIFS($D23:U23,$D$6:U$6,V$12,$D$7:U$7,V$7,$D$5:U$5,V$5,$D$4:U$4,"&lt;&gt;"&amp;V$4)</f>
        <v>3</v>
      </c>
      <c r="W23" s="308">
        <f t="shared" si="27"/>
        <v>15</v>
      </c>
      <c r="X23" s="329">
        <f>SUMIFS($D23:W23,$D$6:W$6,X$12,$D$7:W$7,X$7,$D$5:W$5,X$5,$D$4:W$4,"&lt;&gt;"&amp;X$4)</f>
        <v>3</v>
      </c>
      <c r="Y23" s="308">
        <f t="shared" si="27"/>
        <v>15</v>
      </c>
      <c r="Z23" s="325">
        <v>0</v>
      </c>
      <c r="AA23" s="326">
        <f t="shared" si="90"/>
        <v>11</v>
      </c>
      <c r="AB23" s="326">
        <f t="shared" si="29"/>
        <v>1</v>
      </c>
      <c r="AC23" s="327">
        <v>0</v>
      </c>
      <c r="AD23" s="328">
        <f t="shared" si="30"/>
        <v>11</v>
      </c>
      <c r="AE23" s="329">
        <f t="shared" si="31"/>
        <v>1</v>
      </c>
      <c r="AF23" s="325">
        <v>0</v>
      </c>
      <c r="AG23" s="326">
        <f t="shared" si="10"/>
        <v>10</v>
      </c>
      <c r="AH23" s="326">
        <f t="shared" si="32"/>
        <v>1</v>
      </c>
      <c r="AI23" s="330">
        <v>0</v>
      </c>
      <c r="AJ23" s="328">
        <f t="shared" si="11"/>
        <v>10</v>
      </c>
      <c r="AK23" s="329">
        <f t="shared" si="33"/>
        <v>1</v>
      </c>
      <c r="AL23" s="325">
        <v>0</v>
      </c>
      <c r="AM23" s="326">
        <f t="shared" si="34"/>
        <v>9</v>
      </c>
      <c r="AN23" s="326">
        <f t="shared" si="35"/>
        <v>1</v>
      </c>
      <c r="AO23" s="449"/>
      <c r="AP23" s="449"/>
      <c r="AQ23" s="450"/>
      <c r="AR23" s="329">
        <f>SUMIFS($D23:AQ23,$D$6:AQ$6,AR$12,$D$7:AQ$7,AR$7,$D$5:AQ$5,AR$5,$D$4:AQ$4,"&lt;&gt;"&amp;AR$4)</f>
        <v>3</v>
      </c>
      <c r="AS23" s="308">
        <f t="shared" si="36"/>
        <v>14</v>
      </c>
      <c r="AT23" s="329">
        <f>SUMIFS($D23:AS23,$D$6:AS$6,AT$12,$D$7:AS$7,AT$7,$D$5:AS$5,AT$5,$D$4:AS$4,"&lt;&gt;"&amp;AT$4)</f>
        <v>2</v>
      </c>
      <c r="AU23" s="308">
        <f t="shared" si="36"/>
        <v>10</v>
      </c>
      <c r="AV23" s="325">
        <v>0</v>
      </c>
      <c r="AW23" s="326">
        <f t="shared" si="37"/>
        <v>13</v>
      </c>
      <c r="AX23" s="326">
        <f t="shared" si="38"/>
        <v>1</v>
      </c>
      <c r="AY23" s="327">
        <v>56</v>
      </c>
      <c r="AZ23" s="328">
        <f t="shared" si="39"/>
        <v>12</v>
      </c>
      <c r="BA23" s="329">
        <f t="shared" si="40"/>
        <v>2</v>
      </c>
      <c r="BB23" s="325">
        <v>0</v>
      </c>
      <c r="BC23" s="326">
        <f t="shared" si="41"/>
        <v>8</v>
      </c>
      <c r="BD23" s="326">
        <f t="shared" si="42"/>
        <v>1</v>
      </c>
      <c r="BE23" s="330">
        <v>0</v>
      </c>
      <c r="BF23" s="328">
        <f t="shared" si="43"/>
        <v>8</v>
      </c>
      <c r="BG23" s="329">
        <f t="shared" si="44"/>
        <v>1</v>
      </c>
      <c r="BH23" s="325">
        <v>0</v>
      </c>
      <c r="BI23" s="326">
        <f t="shared" si="45"/>
        <v>9</v>
      </c>
      <c r="BJ23" s="326" cm="1">
        <f t="array" ref="BJ23">_xlfn.IFS(BH23&lt;BH$47, 1, BH23&lt;BH$48,2,BH23&lt;BH$49,3,BH23&lt;BH$50,4,BH23&gt;=BH$50,5)</f>
        <v>1</v>
      </c>
      <c r="BK23" s="331">
        <v>0</v>
      </c>
      <c r="BL23" s="328">
        <f t="shared" si="117"/>
        <v>7</v>
      </c>
      <c r="BM23" s="329">
        <f t="shared" si="47"/>
        <v>1</v>
      </c>
      <c r="BN23" s="329">
        <f>SUMIFS($D23:BM23,$D$6:BM$6,BN$12,$D$7:BM$7,BN$7,$D$5:BM$5,BN$5,$D$4:BM$4,"&lt;&gt;"&amp;BN$4)</f>
        <v>3</v>
      </c>
      <c r="BO23" s="308">
        <f t="shared" ref="BO23" si="123">RANK(BN23,BN$13:BN$42,0)</f>
        <v>14</v>
      </c>
      <c r="BP23" s="329">
        <f>SUMIFS($D23:BO23,$D$6:BO$6,BP$12,$D$7:BO$7,BP$7,$D$5:BO$5,BP$5,$D$4:BO$4,"&lt;&gt;"&amp;BP$4)</f>
        <v>4</v>
      </c>
      <c r="BQ23" s="308">
        <f t="shared" ref="BQ23" si="124">RANK(BP23,BP$13:BP$42,0)</f>
        <v>11</v>
      </c>
      <c r="BR23" s="325">
        <v>0</v>
      </c>
      <c r="BS23" s="326">
        <f t="shared" si="50"/>
        <v>7</v>
      </c>
      <c r="BT23" s="326">
        <f t="shared" si="51"/>
        <v>1</v>
      </c>
      <c r="BU23" s="327">
        <v>0</v>
      </c>
      <c r="BV23" s="328">
        <f t="shared" si="52"/>
        <v>10</v>
      </c>
      <c r="BW23" s="329">
        <f t="shared" si="53"/>
        <v>1</v>
      </c>
      <c r="BX23" s="325">
        <v>0</v>
      </c>
      <c r="BY23" s="326">
        <f t="shared" si="54"/>
        <v>10</v>
      </c>
      <c r="BZ23" s="326">
        <f t="shared" si="55"/>
        <v>1</v>
      </c>
      <c r="CA23" s="327">
        <v>0</v>
      </c>
      <c r="CB23" s="328">
        <f t="shared" si="56"/>
        <v>11</v>
      </c>
      <c r="CC23" s="329">
        <f t="shared" si="57"/>
        <v>1</v>
      </c>
      <c r="CD23" s="325">
        <v>0</v>
      </c>
      <c r="CE23" s="326">
        <f t="shared" si="58"/>
        <v>5</v>
      </c>
      <c r="CF23" s="326">
        <f t="shared" si="59"/>
        <v>1</v>
      </c>
      <c r="CG23" s="330">
        <v>0</v>
      </c>
      <c r="CH23" s="328">
        <f t="shared" si="60"/>
        <v>5</v>
      </c>
      <c r="CI23" s="329">
        <f t="shared" si="61"/>
        <v>1</v>
      </c>
      <c r="CJ23" s="329">
        <f>SUMIFS($D23:CI23,$D$6:CI$6,CJ$12,$D$7:CI$7,CJ$7,$D$5:CI$5,CJ$5,$D$4:CI$4,"&lt;&gt;"&amp;CJ$4)</f>
        <v>3</v>
      </c>
      <c r="CK23" s="308">
        <f t="shared" ref="CK23" si="125">RANK(CJ23,CJ$13:CJ$42,0)</f>
        <v>12</v>
      </c>
      <c r="CL23" s="329">
        <f>SUMIFS($D23:CK23,$D$6:CK$6,CL$12,$D$7:CK$7,CL$7,$D$5:CK$5,CL$5,$D$4:CK$4,"&lt;&gt;"&amp;CL$4)</f>
        <v>3</v>
      </c>
      <c r="CM23" s="308">
        <f t="shared" si="63"/>
        <v>16</v>
      </c>
      <c r="CN23" s="325">
        <v>0</v>
      </c>
      <c r="CO23" s="326">
        <f t="shared" si="64"/>
        <v>8</v>
      </c>
      <c r="CP23" s="326">
        <f t="shared" si="65"/>
        <v>1</v>
      </c>
      <c r="CQ23" s="327">
        <v>0</v>
      </c>
      <c r="CR23" s="328">
        <f t="shared" si="66"/>
        <v>11</v>
      </c>
      <c r="CS23" s="329">
        <f t="shared" si="67"/>
        <v>1</v>
      </c>
      <c r="CT23" s="325">
        <v>0</v>
      </c>
      <c r="CU23" s="326">
        <f t="shared" si="12"/>
        <v>12</v>
      </c>
      <c r="CV23" s="326">
        <f t="shared" si="68"/>
        <v>1</v>
      </c>
      <c r="CW23" s="330">
        <v>0</v>
      </c>
      <c r="CX23" s="328">
        <f t="shared" si="13"/>
        <v>13</v>
      </c>
      <c r="CY23" s="329">
        <f t="shared" si="69"/>
        <v>1</v>
      </c>
      <c r="CZ23" s="325">
        <v>0</v>
      </c>
      <c r="DA23" s="326">
        <f t="shared" si="94"/>
        <v>8</v>
      </c>
      <c r="DB23" s="326">
        <f t="shared" si="70"/>
        <v>1</v>
      </c>
      <c r="DC23" s="330">
        <v>0</v>
      </c>
      <c r="DD23" s="328">
        <f t="shared" si="15"/>
        <v>8</v>
      </c>
      <c r="DE23" s="329">
        <f t="shared" si="71"/>
        <v>1</v>
      </c>
      <c r="DF23" s="329">
        <f>SUMIFS($D23:DE23,$D$6:DE$6,DF$12,$D$7:DE$7,DF$7,$D$5:DE$5,DF$5,$D$4:DE$4,"&lt;&gt;"&amp;DF$4)</f>
        <v>3</v>
      </c>
      <c r="DG23" s="308">
        <f t="shared" ref="DG23" si="126">RANK(DF23,DF$13:DF$42,0)</f>
        <v>13</v>
      </c>
      <c r="DH23" s="329">
        <f>SUMIFS($D23:DG23,$D$6:DG$6,DH$12,$D$7:DG$7,DH$7,$D$5:DG$5,DH$5,$D$4:DG$4,"&lt;&gt;"&amp;DH$4)</f>
        <v>3</v>
      </c>
      <c r="DI23" s="308">
        <f t="shared" ref="DI23" si="127">RANK(DH23,DH$13:DH$42,0)</f>
        <v>14</v>
      </c>
      <c r="DJ23" s="332" cm="1">
        <f t="array" aca="1" ref="DJ23" ca="1">ROUNDUP(SUMPRODUCT(--($D$7:$DI$7=DJ$7),$D23:$DI23,$D$3:$DI$3),3)</f>
        <v>3</v>
      </c>
      <c r="DK23" s="326">
        <v>26</v>
      </c>
      <c r="DL23" s="331" cm="1">
        <f t="array" aca="1" ref="DL23" ca="1">ROUNDUP(SUMPRODUCT(--($D$7:$DI$7=DL$7),$D23:$DI23,$D$3:$DI$3),3)</f>
        <v>3</v>
      </c>
      <c r="DM23" s="333">
        <f t="shared" ca="1" si="74"/>
        <v>23</v>
      </c>
      <c r="DN23" s="451">
        <f t="shared" ca="1" si="16"/>
        <v>3</v>
      </c>
      <c r="DO23" s="324" t="s">
        <v>342</v>
      </c>
      <c r="DP23" s="334" t="s">
        <v>5</v>
      </c>
      <c r="DQ23" s="633"/>
    </row>
    <row r="24" spans="2:121" s="445" customFormat="1" ht="15" customHeight="1">
      <c r="B24" s="301" t="s">
        <v>40</v>
      </c>
      <c r="C24" s="302" t="s">
        <v>343</v>
      </c>
      <c r="D24" s="303">
        <v>3500</v>
      </c>
      <c r="E24" s="304">
        <f t="shared" si="85"/>
        <v>1</v>
      </c>
      <c r="F24" s="304">
        <f t="shared" si="18"/>
        <v>5</v>
      </c>
      <c r="G24" s="306">
        <v>4000</v>
      </c>
      <c r="H24" s="312">
        <f t="shared" si="86"/>
        <v>1</v>
      </c>
      <c r="I24" s="383">
        <f t="shared" si="20"/>
        <v>5</v>
      </c>
      <c r="J24" s="303">
        <v>120.9974</v>
      </c>
      <c r="K24" s="304">
        <f t="shared" si="87"/>
        <v>1</v>
      </c>
      <c r="L24" s="304">
        <f t="shared" si="22"/>
        <v>5</v>
      </c>
      <c r="M24" s="310">
        <v>138.9</v>
      </c>
      <c r="N24" s="312">
        <f t="shared" si="88"/>
        <v>1</v>
      </c>
      <c r="O24" s="335">
        <f t="shared" si="24"/>
        <v>5</v>
      </c>
      <c r="P24" s="303">
        <v>0</v>
      </c>
      <c r="Q24" s="304">
        <f t="shared" si="89"/>
        <v>6</v>
      </c>
      <c r="R24" s="304">
        <f t="shared" si="26"/>
        <v>1</v>
      </c>
      <c r="S24" s="310">
        <v>7.2</v>
      </c>
      <c r="T24" s="312">
        <f t="shared" si="8"/>
        <v>6</v>
      </c>
      <c r="U24" s="335">
        <f t="shared" si="9"/>
        <v>2</v>
      </c>
      <c r="V24" s="335">
        <f>SUMIFS($D24:U24,$D$6:U$6,V$12,$D$7:U$7,V$7,$D$5:U$5,V$5,$D$4:U$4,"&lt;&gt;"&amp;V$4)</f>
        <v>11</v>
      </c>
      <c r="W24" s="308">
        <f t="shared" si="27"/>
        <v>2</v>
      </c>
      <c r="X24" s="335">
        <f>SUMIFS($D24:W24,$D$6:W$6,X$12,$D$7:W$7,X$7,$D$5:W$5,X$5,$D$4:W$4,"&lt;&gt;"&amp;X$4)</f>
        <v>12</v>
      </c>
      <c r="Y24" s="308">
        <f t="shared" si="27"/>
        <v>1</v>
      </c>
      <c r="Z24" s="303">
        <v>0</v>
      </c>
      <c r="AA24" s="304">
        <f t="shared" si="90"/>
        <v>11</v>
      </c>
      <c r="AB24" s="304">
        <f t="shared" si="29"/>
        <v>1</v>
      </c>
      <c r="AC24" s="306">
        <v>0</v>
      </c>
      <c r="AD24" s="312">
        <f t="shared" si="30"/>
        <v>11</v>
      </c>
      <c r="AE24" s="335">
        <f t="shared" si="31"/>
        <v>1</v>
      </c>
      <c r="AF24" s="303">
        <v>0</v>
      </c>
      <c r="AG24" s="304">
        <f t="shared" si="10"/>
        <v>10</v>
      </c>
      <c r="AH24" s="304">
        <f t="shared" si="32"/>
        <v>1</v>
      </c>
      <c r="AI24" s="310">
        <v>0</v>
      </c>
      <c r="AJ24" s="312">
        <f t="shared" si="11"/>
        <v>10</v>
      </c>
      <c r="AK24" s="335">
        <f t="shared" si="33"/>
        <v>1</v>
      </c>
      <c r="AL24" s="303">
        <v>0</v>
      </c>
      <c r="AM24" s="304">
        <f t="shared" si="34"/>
        <v>9</v>
      </c>
      <c r="AN24" s="304">
        <f t="shared" si="35"/>
        <v>1</v>
      </c>
      <c r="AO24" s="449"/>
      <c r="AP24" s="449"/>
      <c r="AQ24" s="450"/>
      <c r="AR24" s="335">
        <f>SUMIFS($D24:AQ24,$D$6:AQ$6,AR$12,$D$7:AQ$7,AR$7,$D$5:AQ$5,AR$5,$D$4:AQ$4,"&lt;&gt;"&amp;AR$4)</f>
        <v>3</v>
      </c>
      <c r="AS24" s="308">
        <f t="shared" si="36"/>
        <v>14</v>
      </c>
      <c r="AT24" s="335">
        <f>SUMIFS($D24:AS24,$D$6:AS$6,AT$12,$D$7:AS$7,AT$7,$D$5:AS$5,AT$5,$D$4:AS$4,"&lt;&gt;"&amp;AT$4)</f>
        <v>2</v>
      </c>
      <c r="AU24" s="308">
        <f t="shared" si="36"/>
        <v>10</v>
      </c>
      <c r="AV24" s="303">
        <v>595.15062454077884</v>
      </c>
      <c r="AW24" s="304">
        <f t="shared" si="37"/>
        <v>6</v>
      </c>
      <c r="AX24" s="304">
        <f t="shared" si="38"/>
        <v>3</v>
      </c>
      <c r="AY24" s="306">
        <v>595</v>
      </c>
      <c r="AZ24" s="312">
        <f t="shared" si="39"/>
        <v>7</v>
      </c>
      <c r="BA24" s="335">
        <f t="shared" si="40"/>
        <v>3</v>
      </c>
      <c r="BB24" s="303">
        <v>0</v>
      </c>
      <c r="BC24" s="304">
        <f t="shared" si="41"/>
        <v>8</v>
      </c>
      <c r="BD24" s="304">
        <f t="shared" si="42"/>
        <v>1</v>
      </c>
      <c r="BE24" s="310">
        <v>0</v>
      </c>
      <c r="BF24" s="312">
        <f t="shared" si="43"/>
        <v>8</v>
      </c>
      <c r="BG24" s="335">
        <f t="shared" si="44"/>
        <v>1</v>
      </c>
      <c r="BH24" s="303">
        <v>0</v>
      </c>
      <c r="BI24" s="304">
        <f t="shared" si="45"/>
        <v>9</v>
      </c>
      <c r="BJ24" s="304" cm="1">
        <f t="array" ref="BJ24">_xlfn.IFS(BH24&lt;BH$47, 1, BH24&lt;BH$48,2,BH24&lt;BH$49,3,BH24&lt;BH$50,4,BH24&gt;=BH$50,5)</f>
        <v>1</v>
      </c>
      <c r="BK24" s="309">
        <v>0</v>
      </c>
      <c r="BL24" s="312">
        <f t="shared" si="117"/>
        <v>7</v>
      </c>
      <c r="BM24" s="335">
        <f t="shared" si="47"/>
        <v>1</v>
      </c>
      <c r="BN24" s="335">
        <f>SUMIFS($D24:BM24,$D$6:BM$6,BN$12,$D$7:BM$7,BN$7,$D$5:BM$5,BN$5,$D$4:BM$4,"&lt;&gt;"&amp;BN$4)</f>
        <v>5</v>
      </c>
      <c r="BO24" s="308">
        <f t="shared" ref="BO24" si="128">RANK(BN24,BN$13:BN$42,0)</f>
        <v>8</v>
      </c>
      <c r="BP24" s="335">
        <f>SUMIFS($D24:BO24,$D$6:BO$6,BP$12,$D$7:BO$7,BP$7,$D$5:BO$5,BP$5,$D$4:BO$4,"&lt;&gt;"&amp;BP$4)</f>
        <v>5</v>
      </c>
      <c r="BQ24" s="308">
        <f t="shared" ref="BQ24" si="129">RANK(BP24,BP$13:BP$42,0)</f>
        <v>8</v>
      </c>
      <c r="BR24" s="303">
        <v>0</v>
      </c>
      <c r="BS24" s="304">
        <f t="shared" si="50"/>
        <v>7</v>
      </c>
      <c r="BT24" s="304">
        <f t="shared" si="51"/>
        <v>1</v>
      </c>
      <c r="BU24" s="306">
        <v>7000</v>
      </c>
      <c r="BV24" s="312">
        <f t="shared" si="52"/>
        <v>6</v>
      </c>
      <c r="BW24" s="335">
        <f t="shared" si="53"/>
        <v>3</v>
      </c>
      <c r="BX24" s="303">
        <v>0</v>
      </c>
      <c r="BY24" s="304">
        <f t="shared" si="54"/>
        <v>10</v>
      </c>
      <c r="BZ24" s="304">
        <f t="shared" si="55"/>
        <v>1</v>
      </c>
      <c r="CA24" s="306">
        <v>0</v>
      </c>
      <c r="CB24" s="312">
        <f t="shared" si="56"/>
        <v>11</v>
      </c>
      <c r="CC24" s="335">
        <f t="shared" si="57"/>
        <v>1</v>
      </c>
      <c r="CD24" s="303">
        <v>0</v>
      </c>
      <c r="CE24" s="304">
        <f t="shared" si="58"/>
        <v>5</v>
      </c>
      <c r="CF24" s="304">
        <f t="shared" si="59"/>
        <v>1</v>
      </c>
      <c r="CG24" s="310">
        <v>0</v>
      </c>
      <c r="CH24" s="312">
        <f t="shared" si="60"/>
        <v>5</v>
      </c>
      <c r="CI24" s="335">
        <f t="shared" si="61"/>
        <v>1</v>
      </c>
      <c r="CJ24" s="335">
        <f>SUMIFS($D24:CI24,$D$6:CI$6,CJ$12,$D$7:CI$7,CJ$7,$D$5:CI$5,CJ$5,$D$4:CI$4,"&lt;&gt;"&amp;CJ$4)</f>
        <v>3</v>
      </c>
      <c r="CK24" s="308">
        <f t="shared" ref="CK24" si="130">RANK(CJ24,CJ$13:CJ$42,0)</f>
        <v>12</v>
      </c>
      <c r="CL24" s="335">
        <f>SUMIFS($D24:CK24,$D$6:CK$6,CL$12,$D$7:CK$7,CL$7,$D$5:CK$5,CL$5,$D$4:CK$4,"&lt;&gt;"&amp;CL$4)</f>
        <v>5</v>
      </c>
      <c r="CM24" s="308">
        <f t="shared" si="63"/>
        <v>8</v>
      </c>
      <c r="CN24" s="303">
        <v>0</v>
      </c>
      <c r="CO24" s="304">
        <f t="shared" si="64"/>
        <v>8</v>
      </c>
      <c r="CP24" s="304">
        <f t="shared" si="65"/>
        <v>1</v>
      </c>
      <c r="CQ24" s="306">
        <v>0</v>
      </c>
      <c r="CR24" s="312">
        <f t="shared" si="66"/>
        <v>11</v>
      </c>
      <c r="CS24" s="335">
        <f t="shared" si="67"/>
        <v>1</v>
      </c>
      <c r="CT24" s="303">
        <v>0</v>
      </c>
      <c r="CU24" s="304">
        <f t="shared" si="12"/>
        <v>12</v>
      </c>
      <c r="CV24" s="304">
        <f t="shared" si="68"/>
        <v>1</v>
      </c>
      <c r="CW24" s="310">
        <v>0</v>
      </c>
      <c r="CX24" s="312">
        <f t="shared" si="13"/>
        <v>13</v>
      </c>
      <c r="CY24" s="335">
        <f t="shared" si="69"/>
        <v>1</v>
      </c>
      <c r="CZ24" s="303">
        <v>0</v>
      </c>
      <c r="DA24" s="304">
        <f t="shared" si="94"/>
        <v>8</v>
      </c>
      <c r="DB24" s="304">
        <f t="shared" si="70"/>
        <v>1</v>
      </c>
      <c r="DC24" s="310">
        <v>0</v>
      </c>
      <c r="DD24" s="312">
        <f t="shared" si="15"/>
        <v>8</v>
      </c>
      <c r="DE24" s="335">
        <f t="shared" si="71"/>
        <v>1</v>
      </c>
      <c r="DF24" s="335">
        <f>SUMIFS($D24:DE24,$D$6:DE$6,DF$12,$D$7:DE$7,DF$7,$D$5:DE$5,DF$5,$D$4:DE$4,"&lt;&gt;"&amp;DF$4)</f>
        <v>3</v>
      </c>
      <c r="DG24" s="308">
        <f t="shared" ref="DG24" si="131">RANK(DF24,DF$13:DF$42,0)</f>
        <v>13</v>
      </c>
      <c r="DH24" s="335">
        <f>SUMIFS($D24:DG24,$D$6:DG$6,DH$12,$D$7:DG$7,DH$7,$D$5:DG$5,DH$5,$D$4:DG$4,"&lt;&gt;"&amp;DH$4)</f>
        <v>3</v>
      </c>
      <c r="DI24" s="308">
        <f t="shared" ref="DI24" si="132">RANK(DH24,DH$13:DH$42,0)</f>
        <v>14</v>
      </c>
      <c r="DJ24" s="336" cm="1">
        <f t="array" aca="1" ref="DJ24" ca="1">ROUNDUP(SUMPRODUCT(--($D$7:$DI$7=DJ$7),$D24:$DI24,$D$3:$DI$3),3)</f>
        <v>5</v>
      </c>
      <c r="DK24" s="304">
        <v>11</v>
      </c>
      <c r="DL24" s="309" cm="1">
        <f t="array" aca="1" ref="DL24" ca="1">ROUNDUP(SUMPRODUCT(--($D$7:$DI$7=DL$7),$D24:$DI24,$D$3:$DI$3),3)</f>
        <v>5.4</v>
      </c>
      <c r="DM24" s="313">
        <f t="shared" ca="1" si="74"/>
        <v>8</v>
      </c>
      <c r="DN24" s="451">
        <f t="shared" ca="1" si="16"/>
        <v>3</v>
      </c>
      <c r="DO24" s="302" t="s">
        <v>343</v>
      </c>
      <c r="DP24" s="314" t="s">
        <v>40</v>
      </c>
      <c r="DQ24" s="633"/>
    </row>
    <row r="25" spans="2:121" s="445" customFormat="1" ht="15" customHeight="1">
      <c r="B25" s="315" t="s">
        <v>40</v>
      </c>
      <c r="C25" s="316" t="s">
        <v>344</v>
      </c>
      <c r="D25" s="317">
        <v>13</v>
      </c>
      <c r="E25" s="305">
        <f t="shared" si="85"/>
        <v>10</v>
      </c>
      <c r="F25" s="305">
        <f t="shared" si="18"/>
        <v>2</v>
      </c>
      <c r="G25" s="318">
        <v>13</v>
      </c>
      <c r="H25" s="307">
        <f t="shared" si="86"/>
        <v>11</v>
      </c>
      <c r="I25" s="386">
        <f t="shared" si="20"/>
        <v>2</v>
      </c>
      <c r="J25" s="317">
        <v>2.25</v>
      </c>
      <c r="K25" s="305">
        <f t="shared" si="87"/>
        <v>6</v>
      </c>
      <c r="L25" s="305">
        <f t="shared" si="22"/>
        <v>3</v>
      </c>
      <c r="M25" s="320">
        <v>2.25</v>
      </c>
      <c r="N25" s="307">
        <f t="shared" si="88"/>
        <v>7</v>
      </c>
      <c r="O25" s="308">
        <f t="shared" si="24"/>
        <v>3</v>
      </c>
      <c r="P25" s="317">
        <v>0</v>
      </c>
      <c r="Q25" s="305">
        <f t="shared" si="89"/>
        <v>6</v>
      </c>
      <c r="R25" s="305">
        <f t="shared" si="26"/>
        <v>1</v>
      </c>
      <c r="S25" s="320">
        <v>7.2</v>
      </c>
      <c r="T25" s="307">
        <f t="shared" si="8"/>
        <v>6</v>
      </c>
      <c r="U25" s="308">
        <f t="shared" si="9"/>
        <v>2</v>
      </c>
      <c r="V25" s="308">
        <f>SUMIFS($D25:U25,$D$6:U$6,V$12,$D$7:U$7,V$7,$D$5:U$5,V$5,$D$4:U$4,"&lt;&gt;"&amp;V$4)</f>
        <v>6</v>
      </c>
      <c r="W25" s="308">
        <f t="shared" si="27"/>
        <v>8</v>
      </c>
      <c r="X25" s="308">
        <f>SUMIFS($D25:W25,$D$6:W$6,X$12,$D$7:W$7,X$7,$D$5:W$5,X$5,$D$4:W$4,"&lt;&gt;"&amp;X$4)</f>
        <v>7</v>
      </c>
      <c r="Y25" s="308">
        <f t="shared" si="27"/>
        <v>8</v>
      </c>
      <c r="Z25" s="317">
        <v>0</v>
      </c>
      <c r="AA25" s="305">
        <f t="shared" si="90"/>
        <v>11</v>
      </c>
      <c r="AB25" s="305">
        <f t="shared" si="29"/>
        <v>1</v>
      </c>
      <c r="AC25" s="318">
        <v>0</v>
      </c>
      <c r="AD25" s="307">
        <f t="shared" si="30"/>
        <v>11</v>
      </c>
      <c r="AE25" s="308">
        <f t="shared" si="31"/>
        <v>1</v>
      </c>
      <c r="AF25" s="317">
        <v>0</v>
      </c>
      <c r="AG25" s="305">
        <f t="shared" si="10"/>
        <v>10</v>
      </c>
      <c r="AH25" s="305">
        <f t="shared" si="32"/>
        <v>1</v>
      </c>
      <c r="AI25" s="320">
        <v>0</v>
      </c>
      <c r="AJ25" s="307">
        <f t="shared" si="11"/>
        <v>10</v>
      </c>
      <c r="AK25" s="308">
        <f t="shared" si="33"/>
        <v>1</v>
      </c>
      <c r="AL25" s="317">
        <v>0</v>
      </c>
      <c r="AM25" s="305">
        <f t="shared" si="34"/>
        <v>9</v>
      </c>
      <c r="AN25" s="305">
        <f t="shared" si="35"/>
        <v>1</v>
      </c>
      <c r="AO25" s="449"/>
      <c r="AP25" s="449"/>
      <c r="AQ25" s="450"/>
      <c r="AR25" s="308">
        <f>SUMIFS($D25:AQ25,$D$6:AQ$6,AR$12,$D$7:AQ$7,AR$7,$D$5:AQ$5,AR$5,$D$4:AQ$4,"&lt;&gt;"&amp;AR$4)</f>
        <v>3</v>
      </c>
      <c r="AS25" s="308">
        <f t="shared" si="36"/>
        <v>14</v>
      </c>
      <c r="AT25" s="308">
        <f>SUMIFS($D25:AS25,$D$6:AS$6,AT$12,$D$7:AS$7,AT$7,$D$5:AS$5,AT$5,$D$4:AS$4,"&lt;&gt;"&amp;AT$4)</f>
        <v>2</v>
      </c>
      <c r="AU25" s="308">
        <f t="shared" si="36"/>
        <v>10</v>
      </c>
      <c r="AV25" s="317">
        <v>0</v>
      </c>
      <c r="AW25" s="305">
        <f t="shared" si="37"/>
        <v>13</v>
      </c>
      <c r="AX25" s="305">
        <f t="shared" si="38"/>
        <v>1</v>
      </c>
      <c r="AY25" s="318">
        <v>0</v>
      </c>
      <c r="AZ25" s="307">
        <f t="shared" si="39"/>
        <v>14</v>
      </c>
      <c r="BA25" s="308">
        <f t="shared" si="40"/>
        <v>1</v>
      </c>
      <c r="BB25" s="317">
        <v>0</v>
      </c>
      <c r="BC25" s="305">
        <f t="shared" si="41"/>
        <v>8</v>
      </c>
      <c r="BD25" s="305">
        <f t="shared" si="42"/>
        <v>1</v>
      </c>
      <c r="BE25" s="320">
        <v>0</v>
      </c>
      <c r="BF25" s="307">
        <f t="shared" si="43"/>
        <v>8</v>
      </c>
      <c r="BG25" s="308">
        <f t="shared" si="44"/>
        <v>1</v>
      </c>
      <c r="BH25" s="317">
        <v>0</v>
      </c>
      <c r="BI25" s="305">
        <f t="shared" si="45"/>
        <v>9</v>
      </c>
      <c r="BJ25" s="305" cm="1">
        <f t="array" ref="BJ25">_xlfn.IFS(BH25&lt;BH$47, 1, BH25&lt;BH$48,2,BH25&lt;BH$49,3,BH25&lt;BH$50,4,BH25&gt;=BH$50,5)</f>
        <v>1</v>
      </c>
      <c r="BK25" s="319">
        <v>0</v>
      </c>
      <c r="BL25" s="307">
        <f t="shared" si="117"/>
        <v>7</v>
      </c>
      <c r="BM25" s="308">
        <f t="shared" si="47"/>
        <v>1</v>
      </c>
      <c r="BN25" s="308">
        <f>SUMIFS($D25:BM25,$D$6:BM$6,BN$12,$D$7:BM$7,BN$7,$D$5:BM$5,BN$5,$D$4:BM$4,"&lt;&gt;"&amp;BN$4)</f>
        <v>3</v>
      </c>
      <c r="BO25" s="308">
        <f t="shared" ref="BO25" si="133">RANK(BN25,BN$13:BN$42,0)</f>
        <v>14</v>
      </c>
      <c r="BP25" s="308">
        <f>SUMIFS($D25:BO25,$D$6:BO$6,BP$12,$D$7:BO$7,BP$7,$D$5:BO$5,BP$5,$D$4:BO$4,"&lt;&gt;"&amp;BP$4)</f>
        <v>3</v>
      </c>
      <c r="BQ25" s="308">
        <f t="shared" ref="BQ25" si="134">RANK(BP25,BP$13:BP$42,0)</f>
        <v>13</v>
      </c>
      <c r="BR25" s="317">
        <v>0</v>
      </c>
      <c r="BS25" s="305">
        <f t="shared" si="50"/>
        <v>7</v>
      </c>
      <c r="BT25" s="305">
        <f t="shared" si="51"/>
        <v>1</v>
      </c>
      <c r="BU25" s="318">
        <v>0</v>
      </c>
      <c r="BV25" s="307">
        <f t="shared" si="52"/>
        <v>10</v>
      </c>
      <c r="BW25" s="308">
        <f t="shared" si="53"/>
        <v>1</v>
      </c>
      <c r="BX25" s="317">
        <v>142.07999999999998</v>
      </c>
      <c r="BY25" s="305">
        <f t="shared" si="54"/>
        <v>8</v>
      </c>
      <c r="BZ25" s="305">
        <f t="shared" si="55"/>
        <v>2</v>
      </c>
      <c r="CA25" s="318">
        <v>142.1</v>
      </c>
      <c r="CB25" s="307">
        <f t="shared" si="56"/>
        <v>9</v>
      </c>
      <c r="CC25" s="308">
        <f t="shared" si="57"/>
        <v>2</v>
      </c>
      <c r="CD25" s="317">
        <v>0</v>
      </c>
      <c r="CE25" s="305">
        <f t="shared" si="58"/>
        <v>5</v>
      </c>
      <c r="CF25" s="305">
        <f t="shared" si="59"/>
        <v>1</v>
      </c>
      <c r="CG25" s="320">
        <v>0</v>
      </c>
      <c r="CH25" s="307">
        <f t="shared" si="60"/>
        <v>5</v>
      </c>
      <c r="CI25" s="308">
        <f t="shared" si="61"/>
        <v>1</v>
      </c>
      <c r="CJ25" s="308">
        <f>SUMIFS($D25:CI25,$D$6:CI$6,CJ$12,$D$7:CI$7,CJ$7,$D$5:CI$5,CJ$5,$D$4:CI$4,"&lt;&gt;"&amp;CJ$4)</f>
        <v>4</v>
      </c>
      <c r="CK25" s="308">
        <f t="shared" ref="CK25" si="135">RANK(CJ25,CJ$13:CJ$42,0)</f>
        <v>10</v>
      </c>
      <c r="CL25" s="308">
        <f>SUMIFS($D25:CK25,$D$6:CK$6,CL$12,$D$7:CK$7,CL$7,$D$5:CK$5,CL$5,$D$4:CK$4,"&lt;&gt;"&amp;CL$4)</f>
        <v>4</v>
      </c>
      <c r="CM25" s="308">
        <f t="shared" si="63"/>
        <v>11</v>
      </c>
      <c r="CN25" s="317">
        <v>0</v>
      </c>
      <c r="CO25" s="305">
        <f t="shared" si="64"/>
        <v>8</v>
      </c>
      <c r="CP25" s="305">
        <f t="shared" si="65"/>
        <v>1</v>
      </c>
      <c r="CQ25" s="318">
        <v>0</v>
      </c>
      <c r="CR25" s="307">
        <f t="shared" si="66"/>
        <v>11</v>
      </c>
      <c r="CS25" s="308">
        <f t="shared" si="67"/>
        <v>1</v>
      </c>
      <c r="CT25" s="317">
        <v>0</v>
      </c>
      <c r="CU25" s="305">
        <f t="shared" si="12"/>
        <v>12</v>
      </c>
      <c r="CV25" s="305">
        <f t="shared" si="68"/>
        <v>1</v>
      </c>
      <c r="CW25" s="320">
        <v>1</v>
      </c>
      <c r="CX25" s="307">
        <f t="shared" si="13"/>
        <v>11</v>
      </c>
      <c r="CY25" s="308">
        <f t="shared" si="69"/>
        <v>2</v>
      </c>
      <c r="CZ25" s="317">
        <v>0</v>
      </c>
      <c r="DA25" s="305">
        <f t="shared" si="94"/>
        <v>8</v>
      </c>
      <c r="DB25" s="305">
        <f t="shared" si="70"/>
        <v>1</v>
      </c>
      <c r="DC25" s="320">
        <v>0</v>
      </c>
      <c r="DD25" s="307">
        <f t="shared" si="15"/>
        <v>8</v>
      </c>
      <c r="DE25" s="308">
        <f t="shared" si="71"/>
        <v>1</v>
      </c>
      <c r="DF25" s="308">
        <f>SUMIFS($D25:DE25,$D$6:DE$6,DF$12,$D$7:DE$7,DF$7,$D$5:DE$5,DF$5,$D$4:DE$4,"&lt;&gt;"&amp;DF$4)</f>
        <v>3</v>
      </c>
      <c r="DG25" s="308">
        <f t="shared" ref="DG25" si="136">RANK(DF25,DF$13:DF$42,0)</f>
        <v>13</v>
      </c>
      <c r="DH25" s="308">
        <f>SUMIFS($D25:DG25,$D$6:DG$6,DH$12,$D$7:DG$7,DH$7,$D$5:DG$5,DH$5,$D$4:DG$4,"&lt;&gt;"&amp;DH$4)</f>
        <v>4</v>
      </c>
      <c r="DI25" s="308">
        <f t="shared" ref="DI25" si="137">RANK(DH25,DH$13:DH$42,0)</f>
        <v>11</v>
      </c>
      <c r="DJ25" s="311" cm="1">
        <f t="array" aca="1" ref="DJ25" ca="1">ROUNDUP(SUMPRODUCT(--($D$7:$DI$7=DJ$7),$D25:$DI25,$D$3:$DI$3),3)</f>
        <v>3.8</v>
      </c>
      <c r="DK25" s="305">
        <v>19</v>
      </c>
      <c r="DL25" s="319" cm="1">
        <f t="array" aca="1" ref="DL25" ca="1">ROUNDUP(SUMPRODUCT(--($D$7:$DI$7=DL$7),$D25:$DI25,$D$3:$DI$3),3)</f>
        <v>4</v>
      </c>
      <c r="DM25" s="321">
        <f t="shared" ca="1" si="74"/>
        <v>16</v>
      </c>
      <c r="DN25" s="451">
        <f t="shared" ca="1" si="16"/>
        <v>3</v>
      </c>
      <c r="DO25" s="316" t="s">
        <v>344</v>
      </c>
      <c r="DP25" s="322" t="s">
        <v>40</v>
      </c>
      <c r="DQ25" s="633"/>
    </row>
    <row r="26" spans="2:121" s="445" customFormat="1" ht="15" customHeight="1">
      <c r="B26" s="323" t="s">
        <v>40</v>
      </c>
      <c r="C26" s="324" t="s">
        <v>32</v>
      </c>
      <c r="D26" s="325">
        <v>50</v>
      </c>
      <c r="E26" s="326">
        <f t="shared" si="85"/>
        <v>9</v>
      </c>
      <c r="F26" s="326">
        <f t="shared" si="18"/>
        <v>2</v>
      </c>
      <c r="G26" s="327">
        <v>50</v>
      </c>
      <c r="H26" s="328">
        <f t="shared" si="86"/>
        <v>9</v>
      </c>
      <c r="I26" s="389">
        <f t="shared" si="20"/>
        <v>3</v>
      </c>
      <c r="J26" s="325">
        <v>0</v>
      </c>
      <c r="K26" s="326">
        <f t="shared" si="87"/>
        <v>9</v>
      </c>
      <c r="L26" s="326">
        <f t="shared" si="22"/>
        <v>1</v>
      </c>
      <c r="M26" s="330">
        <v>1.25</v>
      </c>
      <c r="N26" s="328">
        <f t="shared" si="88"/>
        <v>9</v>
      </c>
      <c r="O26" s="329">
        <f t="shared" si="24"/>
        <v>2</v>
      </c>
      <c r="P26" s="325">
        <v>0</v>
      </c>
      <c r="Q26" s="326">
        <f t="shared" si="89"/>
        <v>6</v>
      </c>
      <c r="R26" s="326">
        <f t="shared" si="26"/>
        <v>1</v>
      </c>
      <c r="S26" s="330">
        <v>0</v>
      </c>
      <c r="T26" s="328">
        <f t="shared" si="8"/>
        <v>9</v>
      </c>
      <c r="U26" s="329">
        <f t="shared" si="9"/>
        <v>1</v>
      </c>
      <c r="V26" s="329">
        <f>SUMIFS($D26:U26,$D$6:U$6,V$12,$D$7:U$7,V$7,$D$5:U$5,V$5,$D$4:U$4,"&lt;&gt;"&amp;V$4)</f>
        <v>4</v>
      </c>
      <c r="W26" s="308">
        <f t="shared" si="27"/>
        <v>11</v>
      </c>
      <c r="X26" s="329">
        <f>SUMIFS($D26:W26,$D$6:W$6,X$12,$D$7:W$7,X$7,$D$5:W$5,X$5,$D$4:W$4,"&lt;&gt;"&amp;X$4)</f>
        <v>6</v>
      </c>
      <c r="Y26" s="308">
        <f t="shared" si="27"/>
        <v>9</v>
      </c>
      <c r="Z26" s="325">
        <v>0</v>
      </c>
      <c r="AA26" s="326">
        <f t="shared" si="90"/>
        <v>11</v>
      </c>
      <c r="AB26" s="326">
        <f t="shared" si="29"/>
        <v>1</v>
      </c>
      <c r="AC26" s="327">
        <v>0</v>
      </c>
      <c r="AD26" s="328">
        <f t="shared" si="30"/>
        <v>11</v>
      </c>
      <c r="AE26" s="329">
        <f t="shared" si="31"/>
        <v>1</v>
      </c>
      <c r="AF26" s="325">
        <v>0</v>
      </c>
      <c r="AG26" s="326">
        <f t="shared" si="10"/>
        <v>10</v>
      </c>
      <c r="AH26" s="326">
        <f t="shared" si="32"/>
        <v>1</v>
      </c>
      <c r="AI26" s="330">
        <v>0</v>
      </c>
      <c r="AJ26" s="328">
        <f t="shared" si="11"/>
        <v>10</v>
      </c>
      <c r="AK26" s="329">
        <f t="shared" si="33"/>
        <v>1</v>
      </c>
      <c r="AL26" s="325">
        <v>0</v>
      </c>
      <c r="AM26" s="326">
        <f t="shared" si="34"/>
        <v>9</v>
      </c>
      <c r="AN26" s="326">
        <f t="shared" si="35"/>
        <v>1</v>
      </c>
      <c r="AO26" s="449"/>
      <c r="AP26" s="449"/>
      <c r="AQ26" s="450"/>
      <c r="AR26" s="329">
        <f>SUMIFS($D26:AQ26,$D$6:AQ$6,AR$12,$D$7:AQ$7,AR$7,$D$5:AQ$5,AR$5,$D$4:AQ$4,"&lt;&gt;"&amp;AR$4)</f>
        <v>3</v>
      </c>
      <c r="AS26" s="308">
        <f t="shared" si="36"/>
        <v>14</v>
      </c>
      <c r="AT26" s="329">
        <f>SUMIFS($D26:AS26,$D$6:AS$6,AT$12,$D$7:AS$7,AT$7,$D$5:AS$5,AT$5,$D$4:AS$4,"&lt;&gt;"&amp;AT$4)</f>
        <v>2</v>
      </c>
      <c r="AU26" s="308">
        <f t="shared" si="36"/>
        <v>10</v>
      </c>
      <c r="AV26" s="325">
        <v>0</v>
      </c>
      <c r="AW26" s="326">
        <f t="shared" si="37"/>
        <v>13</v>
      </c>
      <c r="AX26" s="326">
        <f t="shared" si="38"/>
        <v>1</v>
      </c>
      <c r="AY26" s="327">
        <v>0</v>
      </c>
      <c r="AZ26" s="328">
        <f t="shared" si="39"/>
        <v>14</v>
      </c>
      <c r="BA26" s="329">
        <f t="shared" si="40"/>
        <v>1</v>
      </c>
      <c r="BB26" s="325">
        <v>0</v>
      </c>
      <c r="BC26" s="326">
        <f t="shared" si="41"/>
        <v>8</v>
      </c>
      <c r="BD26" s="326">
        <f t="shared" si="42"/>
        <v>1</v>
      </c>
      <c r="BE26" s="330">
        <v>0</v>
      </c>
      <c r="BF26" s="328">
        <f t="shared" si="43"/>
        <v>8</v>
      </c>
      <c r="BG26" s="329">
        <f t="shared" si="44"/>
        <v>1</v>
      </c>
      <c r="BH26" s="325">
        <v>0</v>
      </c>
      <c r="BI26" s="326">
        <f t="shared" si="45"/>
        <v>9</v>
      </c>
      <c r="BJ26" s="326" cm="1">
        <f t="array" ref="BJ26">_xlfn.IFS(BH26&lt;BH$47, 1, BH26&lt;BH$48,2,BH26&lt;BH$49,3,BH26&lt;BH$50,4,BH26&gt;=BH$50,5)</f>
        <v>1</v>
      </c>
      <c r="BK26" s="331">
        <v>0</v>
      </c>
      <c r="BL26" s="328">
        <f t="shared" si="117"/>
        <v>7</v>
      </c>
      <c r="BM26" s="329">
        <f t="shared" si="47"/>
        <v>1</v>
      </c>
      <c r="BN26" s="329">
        <f>SUMIFS($D26:BM26,$D$6:BM$6,BN$12,$D$7:BM$7,BN$7,$D$5:BM$5,BN$5,$D$4:BM$4,"&lt;&gt;"&amp;BN$4)</f>
        <v>3</v>
      </c>
      <c r="BO26" s="308">
        <f t="shared" ref="BO26" si="138">RANK(BN26,BN$13:BN$42,0)</f>
        <v>14</v>
      </c>
      <c r="BP26" s="329">
        <f>SUMIFS($D26:BO26,$D$6:BO$6,BP$12,$D$7:BO$7,BP$7,$D$5:BO$5,BP$5,$D$4:BO$4,"&lt;&gt;"&amp;BP$4)</f>
        <v>3</v>
      </c>
      <c r="BQ26" s="308">
        <f t="shared" ref="BQ26" si="139">RANK(BP26,BP$13:BP$42,0)</f>
        <v>13</v>
      </c>
      <c r="BR26" s="325">
        <v>640000</v>
      </c>
      <c r="BS26" s="326">
        <f t="shared" si="50"/>
        <v>1</v>
      </c>
      <c r="BT26" s="326">
        <f t="shared" si="51"/>
        <v>5</v>
      </c>
      <c r="BU26" s="327">
        <v>640000</v>
      </c>
      <c r="BV26" s="328">
        <f t="shared" si="52"/>
        <v>1</v>
      </c>
      <c r="BW26" s="329">
        <f t="shared" si="53"/>
        <v>5</v>
      </c>
      <c r="BX26" s="325">
        <v>7407.5834000000004</v>
      </c>
      <c r="BY26" s="326">
        <f t="shared" si="54"/>
        <v>1</v>
      </c>
      <c r="BZ26" s="326">
        <f t="shared" si="55"/>
        <v>5</v>
      </c>
      <c r="CA26" s="327">
        <v>7612</v>
      </c>
      <c r="CB26" s="328">
        <f t="shared" si="56"/>
        <v>1</v>
      </c>
      <c r="CC26" s="329">
        <f t="shared" si="57"/>
        <v>5</v>
      </c>
      <c r="CD26" s="325">
        <v>0</v>
      </c>
      <c r="CE26" s="326">
        <f t="shared" si="58"/>
        <v>5</v>
      </c>
      <c r="CF26" s="326">
        <f t="shared" si="59"/>
        <v>1</v>
      </c>
      <c r="CG26" s="330">
        <v>0</v>
      </c>
      <c r="CH26" s="328">
        <f t="shared" si="60"/>
        <v>5</v>
      </c>
      <c r="CI26" s="329">
        <f t="shared" si="61"/>
        <v>1</v>
      </c>
      <c r="CJ26" s="329">
        <f>SUMIFS($D26:CI26,$D$6:CI$6,CJ$12,$D$7:CI$7,CJ$7,$D$5:CI$5,CJ$5,$D$4:CI$4,"&lt;&gt;"&amp;CJ$4)</f>
        <v>11</v>
      </c>
      <c r="CK26" s="308">
        <f t="shared" ref="CK26" si="140">RANK(CJ26,CJ$13:CJ$42,0)</f>
        <v>2</v>
      </c>
      <c r="CL26" s="329">
        <f>SUMIFS($D26:CK26,$D$6:CK$6,CL$12,$D$7:CK$7,CL$7,$D$5:CK$5,CL$5,$D$4:CK$4,"&lt;&gt;"&amp;CL$4)</f>
        <v>11</v>
      </c>
      <c r="CM26" s="308">
        <f t="shared" si="63"/>
        <v>2</v>
      </c>
      <c r="CN26" s="325">
        <v>0</v>
      </c>
      <c r="CO26" s="326">
        <f t="shared" si="64"/>
        <v>8</v>
      </c>
      <c r="CP26" s="326">
        <f t="shared" si="65"/>
        <v>1</v>
      </c>
      <c r="CQ26" s="327">
        <v>6177.34</v>
      </c>
      <c r="CR26" s="328">
        <f t="shared" si="66"/>
        <v>4</v>
      </c>
      <c r="CS26" s="329">
        <f t="shared" si="67"/>
        <v>4</v>
      </c>
      <c r="CT26" s="325">
        <v>70.642861530930404</v>
      </c>
      <c r="CU26" s="326">
        <f t="shared" si="12"/>
        <v>5</v>
      </c>
      <c r="CV26" s="326">
        <f t="shared" si="68"/>
        <v>3</v>
      </c>
      <c r="CW26" s="330">
        <v>85.68</v>
      </c>
      <c r="CX26" s="328">
        <f t="shared" si="13"/>
        <v>5</v>
      </c>
      <c r="CY26" s="329">
        <f t="shared" si="69"/>
        <v>4</v>
      </c>
      <c r="CZ26" s="325">
        <v>7.4824999999999999</v>
      </c>
      <c r="DA26" s="326">
        <f t="shared" si="94"/>
        <v>6</v>
      </c>
      <c r="DB26" s="326">
        <f t="shared" si="70"/>
        <v>2</v>
      </c>
      <c r="DC26" s="330">
        <v>10.199999999999999</v>
      </c>
      <c r="DD26" s="328">
        <f t="shared" si="15"/>
        <v>7</v>
      </c>
      <c r="DE26" s="329">
        <f t="shared" si="71"/>
        <v>2</v>
      </c>
      <c r="DF26" s="329">
        <f>SUMIFS($D26:DE26,$D$6:DE$6,DF$12,$D$7:DE$7,DF$7,$D$5:DE$5,DF$5,$D$4:DE$4,"&lt;&gt;"&amp;DF$4)</f>
        <v>6</v>
      </c>
      <c r="DG26" s="308">
        <f t="shared" ref="DG26" si="141">RANK(DF26,DF$13:DF$42,0)</f>
        <v>8</v>
      </c>
      <c r="DH26" s="329">
        <f>SUMIFS($D26:DG26,$D$6:DG$6,DH$12,$D$7:DG$7,DH$7,$D$5:DG$5,DH$5,$D$4:DG$4,"&lt;&gt;"&amp;DH$4)</f>
        <v>10</v>
      </c>
      <c r="DI26" s="308">
        <f t="shared" ref="DI26" si="142">RANK(DH26,DH$13:DH$42,0)</f>
        <v>4</v>
      </c>
      <c r="DJ26" s="332" cm="1">
        <f t="array" aca="1" ref="DJ26" ca="1">ROUNDUP(SUMPRODUCT(--($D$7:$DI$7=DJ$7),$D26:$DI26,$D$3:$DI$3),3)</f>
        <v>5.4</v>
      </c>
      <c r="DK26" s="326">
        <v>8</v>
      </c>
      <c r="DL26" s="331" cm="1">
        <f t="array" aca="1" ref="DL26" ca="1">ROUNDUP(SUMPRODUCT(--($D$7:$DI$7=DL$7),$D26:$DI26,$D$3:$DI$3),3)</f>
        <v>6.4</v>
      </c>
      <c r="DM26" s="333">
        <f t="shared" ca="1" si="74"/>
        <v>6</v>
      </c>
      <c r="DN26" s="451">
        <f t="shared" ca="1" si="16"/>
        <v>2</v>
      </c>
      <c r="DO26" s="324" t="s">
        <v>32</v>
      </c>
      <c r="DP26" s="334" t="s">
        <v>40</v>
      </c>
      <c r="DQ26" s="633"/>
    </row>
    <row r="27" spans="2:121" s="445" customFormat="1" ht="15" customHeight="1">
      <c r="B27" s="337" t="s">
        <v>56</v>
      </c>
      <c r="C27" s="302" t="s">
        <v>29</v>
      </c>
      <c r="D27" s="303">
        <v>220</v>
      </c>
      <c r="E27" s="304">
        <f t="shared" si="85"/>
        <v>5</v>
      </c>
      <c r="F27" s="304">
        <f t="shared" si="18"/>
        <v>4</v>
      </c>
      <c r="G27" s="306">
        <v>220</v>
      </c>
      <c r="H27" s="312">
        <f t="shared" si="86"/>
        <v>5</v>
      </c>
      <c r="I27" s="383">
        <f t="shared" si="20"/>
        <v>4</v>
      </c>
      <c r="J27" s="303">
        <v>4.4000000000000004</v>
      </c>
      <c r="K27" s="304">
        <f t="shared" si="87"/>
        <v>4</v>
      </c>
      <c r="L27" s="304">
        <f t="shared" si="22"/>
        <v>4</v>
      </c>
      <c r="M27" s="310">
        <v>3.8</v>
      </c>
      <c r="N27" s="312">
        <f t="shared" si="88"/>
        <v>5</v>
      </c>
      <c r="O27" s="312">
        <f t="shared" si="24"/>
        <v>4</v>
      </c>
      <c r="P27" s="303">
        <v>2.50000000005</v>
      </c>
      <c r="Q27" s="304">
        <f t="shared" si="89"/>
        <v>3</v>
      </c>
      <c r="R27" s="304">
        <f t="shared" si="26"/>
        <v>3</v>
      </c>
      <c r="S27" s="310">
        <v>28.81</v>
      </c>
      <c r="T27" s="312">
        <f t="shared" si="8"/>
        <v>3</v>
      </c>
      <c r="U27" s="312">
        <f t="shared" si="9"/>
        <v>4</v>
      </c>
      <c r="V27" s="312">
        <f>SUMIFS($D27:U27,$D$6:U$6,V$12,$D$7:U$7,V$7,$D$5:U$5,V$5,$D$4:U$4,"&lt;&gt;"&amp;V$4)</f>
        <v>11</v>
      </c>
      <c r="W27" s="308">
        <f t="shared" si="27"/>
        <v>2</v>
      </c>
      <c r="X27" s="312">
        <f>SUMIFS($D27:W27,$D$6:W$6,X$12,$D$7:W$7,X$7,$D$5:W$5,X$5,$D$4:W$4,"&lt;&gt;"&amp;X$4)</f>
        <v>12</v>
      </c>
      <c r="Y27" s="308">
        <f t="shared" si="27"/>
        <v>1</v>
      </c>
      <c r="Z27" s="303">
        <v>647.58000000000004</v>
      </c>
      <c r="AA27" s="304">
        <f t="shared" si="90"/>
        <v>6</v>
      </c>
      <c r="AB27" s="304">
        <f t="shared" si="29"/>
        <v>3</v>
      </c>
      <c r="AC27" s="306">
        <v>648</v>
      </c>
      <c r="AD27" s="312">
        <f t="shared" si="30"/>
        <v>6</v>
      </c>
      <c r="AE27" s="312">
        <f t="shared" si="31"/>
        <v>3</v>
      </c>
      <c r="AF27" s="303">
        <v>8.6</v>
      </c>
      <c r="AG27" s="304">
        <f t="shared" si="10"/>
        <v>4</v>
      </c>
      <c r="AH27" s="304">
        <f t="shared" si="32"/>
        <v>4</v>
      </c>
      <c r="AI27" s="310">
        <v>15</v>
      </c>
      <c r="AJ27" s="312">
        <f t="shared" si="11"/>
        <v>4</v>
      </c>
      <c r="AK27" s="312">
        <f t="shared" si="33"/>
        <v>4</v>
      </c>
      <c r="AL27" s="303">
        <v>0.6</v>
      </c>
      <c r="AM27" s="304">
        <f t="shared" si="34"/>
        <v>7</v>
      </c>
      <c r="AN27" s="304">
        <f t="shared" si="35"/>
        <v>2</v>
      </c>
      <c r="AO27" s="449"/>
      <c r="AP27" s="449"/>
      <c r="AQ27" s="450"/>
      <c r="AR27" s="312">
        <f>SUMIFS($D27:AQ27,$D$6:AQ$6,AR$12,$D$7:AQ$7,AR$7,$D$5:AQ$5,AR$5,$D$4:AQ$4,"&lt;&gt;"&amp;AR$4)</f>
        <v>9</v>
      </c>
      <c r="AS27" s="308">
        <f t="shared" si="36"/>
        <v>3</v>
      </c>
      <c r="AT27" s="312">
        <f>SUMIFS($D27:AS27,$D$6:AS$6,AT$12,$D$7:AS$7,AT$7,$D$5:AS$5,AT$5,$D$4:AS$4,"&lt;&gt;"&amp;AT$4)</f>
        <v>7</v>
      </c>
      <c r="AU27" s="308">
        <f t="shared" si="36"/>
        <v>3</v>
      </c>
      <c r="AV27" s="303">
        <v>575.31227038941961</v>
      </c>
      <c r="AW27" s="304">
        <f t="shared" si="37"/>
        <v>7</v>
      </c>
      <c r="AX27" s="304">
        <f t="shared" si="38"/>
        <v>3</v>
      </c>
      <c r="AY27" s="306">
        <v>930</v>
      </c>
      <c r="AZ27" s="312">
        <f t="shared" si="39"/>
        <v>6</v>
      </c>
      <c r="BA27" s="312">
        <f t="shared" si="40"/>
        <v>4</v>
      </c>
      <c r="BB27" s="303">
        <v>1.5386383800000001</v>
      </c>
      <c r="BC27" s="304">
        <f t="shared" si="41"/>
        <v>7</v>
      </c>
      <c r="BD27" s="304">
        <f t="shared" si="42"/>
        <v>2</v>
      </c>
      <c r="BE27" s="310">
        <v>1.9490000000000001</v>
      </c>
      <c r="BF27" s="312">
        <f t="shared" si="43"/>
        <v>7</v>
      </c>
      <c r="BG27" s="312">
        <f t="shared" si="44"/>
        <v>2</v>
      </c>
      <c r="BH27" s="303">
        <v>0</v>
      </c>
      <c r="BI27" s="304">
        <f t="shared" si="45"/>
        <v>9</v>
      </c>
      <c r="BJ27" s="304" cm="1">
        <f t="array" ref="BJ27">_xlfn.IFS(BH27&lt;BH$47, 1, BH27&lt;BH$48,2,BH27&lt;BH$49,3,BH27&lt;BH$50,4,BH27&gt;=BH$50,5)</f>
        <v>1</v>
      </c>
      <c r="BK27" s="309">
        <v>0</v>
      </c>
      <c r="BL27" s="312">
        <f t="shared" si="117"/>
        <v>7</v>
      </c>
      <c r="BM27" s="312">
        <f t="shared" si="47"/>
        <v>1</v>
      </c>
      <c r="BN27" s="312">
        <f>SUMIFS($D27:BM27,$D$6:BM$6,BN$12,$D$7:BM$7,BN$7,$D$5:BM$5,BN$5,$D$4:BM$4,"&lt;&gt;"&amp;BN$4)</f>
        <v>6</v>
      </c>
      <c r="BO27" s="308">
        <f t="shared" ref="BO27" si="143">RANK(BN27,BN$13:BN$42,0)</f>
        <v>7</v>
      </c>
      <c r="BP27" s="312">
        <f>SUMIFS($D27:BO27,$D$6:BO$6,BP$12,$D$7:BO$7,BP$7,$D$5:BO$5,BP$5,$D$4:BO$4,"&lt;&gt;"&amp;BP$4)</f>
        <v>7</v>
      </c>
      <c r="BQ27" s="308">
        <f t="shared" ref="BQ27" si="144">RANK(BP27,BP$13:BP$42,0)</f>
        <v>6</v>
      </c>
      <c r="BR27" s="303">
        <v>0</v>
      </c>
      <c r="BS27" s="304">
        <f t="shared" si="50"/>
        <v>7</v>
      </c>
      <c r="BT27" s="304">
        <f t="shared" si="51"/>
        <v>1</v>
      </c>
      <c r="BU27" s="306">
        <v>0</v>
      </c>
      <c r="BV27" s="312">
        <f t="shared" si="52"/>
        <v>10</v>
      </c>
      <c r="BW27" s="312">
        <f t="shared" si="53"/>
        <v>1</v>
      </c>
      <c r="BX27" s="303">
        <v>0</v>
      </c>
      <c r="BY27" s="304">
        <f t="shared" si="54"/>
        <v>10</v>
      </c>
      <c r="BZ27" s="304">
        <f t="shared" si="55"/>
        <v>1</v>
      </c>
      <c r="CA27" s="306">
        <v>0</v>
      </c>
      <c r="CB27" s="312">
        <f t="shared" si="56"/>
        <v>11</v>
      </c>
      <c r="CC27" s="312">
        <f t="shared" si="57"/>
        <v>1</v>
      </c>
      <c r="CD27" s="303">
        <v>4.8</v>
      </c>
      <c r="CE27" s="304">
        <f t="shared" si="58"/>
        <v>2</v>
      </c>
      <c r="CF27" s="304">
        <f t="shared" si="59"/>
        <v>4</v>
      </c>
      <c r="CG27" s="310">
        <v>7.2</v>
      </c>
      <c r="CH27" s="312">
        <f t="shared" si="60"/>
        <v>2</v>
      </c>
      <c r="CI27" s="312">
        <f t="shared" si="61"/>
        <v>4</v>
      </c>
      <c r="CJ27" s="312">
        <f>SUMIFS($D27:CI27,$D$6:CI$6,CJ$12,$D$7:CI$7,CJ$7,$D$5:CI$5,CJ$5,$D$4:CI$4,"&lt;&gt;"&amp;CJ$4)</f>
        <v>6</v>
      </c>
      <c r="CK27" s="308">
        <f t="shared" ref="CK27" si="145">RANK(CJ27,CJ$13:CJ$42,0)</f>
        <v>5</v>
      </c>
      <c r="CL27" s="312">
        <f>SUMIFS($D27:CK27,$D$6:CK$6,CL$12,$D$7:CK$7,CL$7,$D$5:CK$5,CL$5,$D$4:CK$4,"&lt;&gt;"&amp;CL$4)</f>
        <v>6</v>
      </c>
      <c r="CM27" s="308">
        <f t="shared" si="63"/>
        <v>7</v>
      </c>
      <c r="CN27" s="303">
        <v>2000</v>
      </c>
      <c r="CO27" s="304">
        <f t="shared" si="64"/>
        <v>6</v>
      </c>
      <c r="CP27" s="304">
        <f t="shared" si="65"/>
        <v>2</v>
      </c>
      <c r="CQ27" s="306">
        <v>5050.1999839999999</v>
      </c>
      <c r="CR27" s="312">
        <f t="shared" si="66"/>
        <v>5</v>
      </c>
      <c r="CS27" s="312">
        <f t="shared" si="67"/>
        <v>3</v>
      </c>
      <c r="CT27" s="303">
        <v>154</v>
      </c>
      <c r="CU27" s="304">
        <f t="shared" si="12"/>
        <v>2</v>
      </c>
      <c r="CV27" s="304">
        <f t="shared" si="68"/>
        <v>5</v>
      </c>
      <c r="CW27" s="310">
        <v>205.7</v>
      </c>
      <c r="CX27" s="312">
        <f t="shared" si="13"/>
        <v>3</v>
      </c>
      <c r="CY27" s="312">
        <f t="shared" si="69"/>
        <v>4</v>
      </c>
      <c r="CZ27" s="303">
        <v>0</v>
      </c>
      <c r="DA27" s="304">
        <f t="shared" si="94"/>
        <v>8</v>
      </c>
      <c r="DB27" s="304">
        <f t="shared" si="70"/>
        <v>1</v>
      </c>
      <c r="DC27" s="310">
        <v>0</v>
      </c>
      <c r="DD27" s="312">
        <f t="shared" si="15"/>
        <v>8</v>
      </c>
      <c r="DE27" s="312">
        <f t="shared" si="71"/>
        <v>1</v>
      </c>
      <c r="DF27" s="312">
        <f>SUMIFS($D27:DE27,$D$6:DE$6,DF$12,$D$7:DE$7,DF$7,$D$5:DE$5,DF$5,$D$4:DE$4,"&lt;&gt;"&amp;DF$4)</f>
        <v>8</v>
      </c>
      <c r="DG27" s="308">
        <f t="shared" ref="DG27" si="146">RANK(DF27,DF$13:DF$42,0)</f>
        <v>4</v>
      </c>
      <c r="DH27" s="312">
        <f>SUMIFS($D27:DG27,$D$6:DG$6,DH$12,$D$7:DG$7,DH$7,$D$5:DG$5,DH$5,$D$4:DG$4,"&lt;&gt;"&amp;DH$4)</f>
        <v>8</v>
      </c>
      <c r="DI27" s="308">
        <f t="shared" ref="DI27" si="147">RANK(DH27,DH$13:DH$42,0)</f>
        <v>6</v>
      </c>
      <c r="DJ27" s="311" cm="1">
        <f t="array" aca="1" ref="DJ27" ca="1">ROUNDUP(SUMPRODUCT(--($D$7:$DI$7=DJ$7),$D27:$DI27,$D$3:$DI$3),3)</f>
        <v>8</v>
      </c>
      <c r="DK27" s="305">
        <v>3</v>
      </c>
      <c r="DL27" s="309" cm="1">
        <f t="array" aca="1" ref="DL27" ca="1">ROUNDUP(SUMPRODUCT(--($D$7:$DI$7=DL$7),$D27:$DI27,$D$3:$DI$3),3)</f>
        <v>8</v>
      </c>
      <c r="DM27" s="313">
        <f t="shared" ca="1" si="74"/>
        <v>3</v>
      </c>
      <c r="DN27" s="451">
        <f t="shared" ca="1" si="16"/>
        <v>0</v>
      </c>
      <c r="DO27" s="302" t="s">
        <v>29</v>
      </c>
      <c r="DP27" s="338" t="s">
        <v>56</v>
      </c>
      <c r="DQ27" s="633"/>
    </row>
    <row r="28" spans="2:121" s="445" customFormat="1" ht="15" customHeight="1">
      <c r="B28" s="339" t="s">
        <v>56</v>
      </c>
      <c r="C28" s="316" t="s">
        <v>12</v>
      </c>
      <c r="D28" s="317">
        <v>10</v>
      </c>
      <c r="E28" s="305">
        <f t="shared" si="85"/>
        <v>11</v>
      </c>
      <c r="F28" s="305">
        <f t="shared" si="18"/>
        <v>2</v>
      </c>
      <c r="G28" s="318">
        <v>10</v>
      </c>
      <c r="H28" s="307">
        <f t="shared" si="86"/>
        <v>12</v>
      </c>
      <c r="I28" s="386">
        <f t="shared" si="20"/>
        <v>2</v>
      </c>
      <c r="J28" s="317">
        <v>1.5</v>
      </c>
      <c r="K28" s="305">
        <f t="shared" si="87"/>
        <v>7</v>
      </c>
      <c r="L28" s="305">
        <f t="shared" si="22"/>
        <v>2</v>
      </c>
      <c r="M28" s="320">
        <v>1.5</v>
      </c>
      <c r="N28" s="307">
        <f t="shared" si="88"/>
        <v>8</v>
      </c>
      <c r="O28" s="308">
        <f t="shared" si="24"/>
        <v>3</v>
      </c>
      <c r="P28" s="317">
        <v>0</v>
      </c>
      <c r="Q28" s="305">
        <f t="shared" si="89"/>
        <v>6</v>
      </c>
      <c r="R28" s="305">
        <f t="shared" si="26"/>
        <v>1</v>
      </c>
      <c r="S28" s="320">
        <v>0</v>
      </c>
      <c r="T28" s="307">
        <f t="shared" si="8"/>
        <v>9</v>
      </c>
      <c r="U28" s="308">
        <f t="shared" si="9"/>
        <v>1</v>
      </c>
      <c r="V28" s="308">
        <f>SUMIFS($D28:U28,$D$6:U$6,V$12,$D$7:U$7,V$7,$D$5:U$5,V$5,$D$4:U$4,"&lt;&gt;"&amp;V$4)</f>
        <v>5</v>
      </c>
      <c r="W28" s="308">
        <f t="shared" si="27"/>
        <v>9</v>
      </c>
      <c r="X28" s="308">
        <f>SUMIFS($D28:W28,$D$6:W$6,X$12,$D$7:W$7,X$7,$D$5:W$5,X$5,$D$4:W$4,"&lt;&gt;"&amp;X$4)</f>
        <v>6</v>
      </c>
      <c r="Y28" s="308">
        <f t="shared" si="27"/>
        <v>9</v>
      </c>
      <c r="Z28" s="317">
        <v>3100</v>
      </c>
      <c r="AA28" s="305">
        <f t="shared" si="90"/>
        <v>5</v>
      </c>
      <c r="AB28" s="305">
        <f t="shared" si="29"/>
        <v>3</v>
      </c>
      <c r="AC28" s="318">
        <v>3100</v>
      </c>
      <c r="AD28" s="307">
        <f t="shared" si="30"/>
        <v>4</v>
      </c>
      <c r="AE28" s="308">
        <f t="shared" si="31"/>
        <v>4</v>
      </c>
      <c r="AF28" s="317">
        <v>3.5</v>
      </c>
      <c r="AG28" s="305">
        <f t="shared" si="10"/>
        <v>7</v>
      </c>
      <c r="AH28" s="305">
        <f t="shared" si="32"/>
        <v>2</v>
      </c>
      <c r="AI28" s="320">
        <v>1.9</v>
      </c>
      <c r="AJ28" s="307">
        <f t="shared" si="11"/>
        <v>8</v>
      </c>
      <c r="AK28" s="308">
        <f t="shared" si="33"/>
        <v>2</v>
      </c>
      <c r="AL28" s="317">
        <v>0</v>
      </c>
      <c r="AM28" s="305">
        <f t="shared" si="34"/>
        <v>9</v>
      </c>
      <c r="AN28" s="305">
        <f t="shared" si="35"/>
        <v>1</v>
      </c>
      <c r="AO28" s="449"/>
      <c r="AP28" s="449"/>
      <c r="AQ28" s="450"/>
      <c r="AR28" s="308">
        <f>SUMIFS($D28:AQ28,$D$6:AQ$6,AR$12,$D$7:AQ$7,AR$7,$D$5:AQ$5,AR$5,$D$4:AQ$4,"&lt;&gt;"&amp;AR$4)</f>
        <v>6</v>
      </c>
      <c r="AS28" s="308">
        <f t="shared" si="36"/>
        <v>7</v>
      </c>
      <c r="AT28" s="308">
        <f>SUMIFS($D28:AS28,$D$6:AS$6,AT$12,$D$7:AS$7,AT$7,$D$5:AS$5,AT$5,$D$4:AS$4,"&lt;&gt;"&amp;AT$4)</f>
        <v>6</v>
      </c>
      <c r="AU28" s="308">
        <f t="shared" si="36"/>
        <v>6</v>
      </c>
      <c r="AV28" s="317">
        <v>337.25202057310798</v>
      </c>
      <c r="AW28" s="305">
        <f t="shared" si="37"/>
        <v>9</v>
      </c>
      <c r="AX28" s="305">
        <f t="shared" si="38"/>
        <v>2</v>
      </c>
      <c r="AY28" s="318">
        <v>337</v>
      </c>
      <c r="AZ28" s="307">
        <f t="shared" si="39"/>
        <v>9</v>
      </c>
      <c r="BA28" s="308">
        <f t="shared" si="40"/>
        <v>3</v>
      </c>
      <c r="BB28" s="317">
        <v>0</v>
      </c>
      <c r="BC28" s="305">
        <f t="shared" si="41"/>
        <v>8</v>
      </c>
      <c r="BD28" s="305">
        <f t="shared" si="42"/>
        <v>1</v>
      </c>
      <c r="BE28" s="320">
        <v>0</v>
      </c>
      <c r="BF28" s="307">
        <f t="shared" si="43"/>
        <v>8</v>
      </c>
      <c r="BG28" s="308">
        <f t="shared" si="44"/>
        <v>1</v>
      </c>
      <c r="BH28" s="317">
        <v>0</v>
      </c>
      <c r="BI28" s="305">
        <f t="shared" si="45"/>
        <v>9</v>
      </c>
      <c r="BJ28" s="305" cm="1">
        <f t="array" ref="BJ28">_xlfn.IFS(BH28&lt;BH$47, 1, BH28&lt;BH$48,2,BH28&lt;BH$49,3,BH28&lt;BH$50,4,BH28&gt;=BH$50,5)</f>
        <v>1</v>
      </c>
      <c r="BK28" s="319">
        <v>0</v>
      </c>
      <c r="BL28" s="307">
        <f t="shared" si="117"/>
        <v>7</v>
      </c>
      <c r="BM28" s="308">
        <f t="shared" si="47"/>
        <v>1</v>
      </c>
      <c r="BN28" s="308">
        <f>SUMIFS($D28:BM28,$D$6:BM$6,BN$12,$D$7:BM$7,BN$7,$D$5:BM$5,BN$5,$D$4:BM$4,"&lt;&gt;"&amp;BN$4)</f>
        <v>4</v>
      </c>
      <c r="BO28" s="308">
        <f t="shared" ref="BO28" si="148">RANK(BN28,BN$13:BN$42,0)</f>
        <v>11</v>
      </c>
      <c r="BP28" s="308">
        <f>SUMIFS($D28:BO28,$D$6:BO$6,BP$12,$D$7:BO$7,BP$7,$D$5:BO$5,BP$5,$D$4:BO$4,"&lt;&gt;"&amp;BP$4)</f>
        <v>5</v>
      </c>
      <c r="BQ28" s="308">
        <f t="shared" ref="BQ28" si="149">RANK(BP28,BP$13:BP$42,0)</f>
        <v>8</v>
      </c>
      <c r="BR28" s="317">
        <v>5000</v>
      </c>
      <c r="BS28" s="305">
        <f t="shared" si="50"/>
        <v>6</v>
      </c>
      <c r="BT28" s="305">
        <f t="shared" si="51"/>
        <v>2</v>
      </c>
      <c r="BU28" s="318">
        <v>5000</v>
      </c>
      <c r="BV28" s="307">
        <f t="shared" si="52"/>
        <v>7</v>
      </c>
      <c r="BW28" s="308">
        <f t="shared" si="53"/>
        <v>3</v>
      </c>
      <c r="BX28" s="317">
        <v>173.9</v>
      </c>
      <c r="BY28" s="305">
        <f t="shared" si="54"/>
        <v>7</v>
      </c>
      <c r="BZ28" s="305">
        <f t="shared" si="55"/>
        <v>2</v>
      </c>
      <c r="CA28" s="318">
        <v>173.9</v>
      </c>
      <c r="CB28" s="307">
        <f t="shared" si="56"/>
        <v>7</v>
      </c>
      <c r="CC28" s="308">
        <f t="shared" si="57"/>
        <v>3</v>
      </c>
      <c r="CD28" s="317">
        <v>0</v>
      </c>
      <c r="CE28" s="305">
        <f t="shared" si="58"/>
        <v>5</v>
      </c>
      <c r="CF28" s="305">
        <f t="shared" si="59"/>
        <v>1</v>
      </c>
      <c r="CG28" s="320">
        <v>0</v>
      </c>
      <c r="CH28" s="307">
        <f t="shared" si="60"/>
        <v>5</v>
      </c>
      <c r="CI28" s="308">
        <f t="shared" si="61"/>
        <v>1</v>
      </c>
      <c r="CJ28" s="308">
        <f>SUMIFS($D28:CI28,$D$6:CI$6,CJ$12,$D$7:CI$7,CJ$7,$D$5:CI$5,CJ$5,$D$4:CI$4,"&lt;&gt;"&amp;CJ$4)</f>
        <v>5</v>
      </c>
      <c r="CK28" s="308">
        <f t="shared" ref="CK28" si="150">RANK(CJ28,CJ$13:CJ$42,0)</f>
        <v>7</v>
      </c>
      <c r="CL28" s="308">
        <f>SUMIFS($D28:CK28,$D$6:CK$6,CL$12,$D$7:CK$7,CL$7,$D$5:CK$5,CL$5,$D$4:CK$4,"&lt;&gt;"&amp;CL$4)</f>
        <v>7</v>
      </c>
      <c r="CM28" s="308">
        <f t="shared" si="63"/>
        <v>6</v>
      </c>
      <c r="CN28" s="317">
        <v>0</v>
      </c>
      <c r="CO28" s="305">
        <f t="shared" si="64"/>
        <v>8</v>
      </c>
      <c r="CP28" s="305">
        <f t="shared" si="65"/>
        <v>1</v>
      </c>
      <c r="CQ28" s="318">
        <v>0</v>
      </c>
      <c r="CR28" s="307">
        <f t="shared" si="66"/>
        <v>11</v>
      </c>
      <c r="CS28" s="308">
        <f t="shared" si="67"/>
        <v>1</v>
      </c>
      <c r="CT28" s="317">
        <v>0</v>
      </c>
      <c r="CU28" s="305">
        <f t="shared" si="12"/>
        <v>12</v>
      </c>
      <c r="CV28" s="305">
        <f t="shared" si="68"/>
        <v>1</v>
      </c>
      <c r="CW28" s="320">
        <v>0</v>
      </c>
      <c r="CX28" s="307">
        <f t="shared" si="13"/>
        <v>13</v>
      </c>
      <c r="CY28" s="308">
        <f t="shared" si="69"/>
        <v>1</v>
      </c>
      <c r="CZ28" s="317">
        <v>0</v>
      </c>
      <c r="DA28" s="305">
        <f t="shared" si="94"/>
        <v>8</v>
      </c>
      <c r="DB28" s="305">
        <f t="shared" si="70"/>
        <v>1</v>
      </c>
      <c r="DC28" s="320">
        <v>0</v>
      </c>
      <c r="DD28" s="307">
        <f t="shared" si="15"/>
        <v>8</v>
      </c>
      <c r="DE28" s="308">
        <f t="shared" si="71"/>
        <v>1</v>
      </c>
      <c r="DF28" s="308">
        <f>SUMIFS($D28:DE28,$D$6:DE$6,DF$12,$D$7:DE$7,DF$7,$D$5:DE$5,DF$5,$D$4:DE$4,"&lt;&gt;"&amp;DF$4)</f>
        <v>3</v>
      </c>
      <c r="DG28" s="308">
        <f t="shared" ref="DG28" si="151">RANK(DF28,DF$13:DF$42,0)</f>
        <v>13</v>
      </c>
      <c r="DH28" s="308">
        <f>SUMIFS($D28:DG28,$D$6:DG$6,DH$12,$D$7:DG$7,DH$7,$D$5:DG$5,DH$5,$D$4:DG$4,"&lt;&gt;"&amp;DH$4)</f>
        <v>3</v>
      </c>
      <c r="DI28" s="308">
        <f t="shared" ref="DI28" si="152">RANK(DH28,DH$13:DH$42,0)</f>
        <v>14</v>
      </c>
      <c r="DJ28" s="311" cm="1">
        <f t="array" aca="1" ref="DJ28" ca="1">ROUNDUP(SUMPRODUCT(--($D$7:$DI$7=DJ$7),$D28:$DI28,$D$3:$DI$3),3)</f>
        <v>4.5999999999999996</v>
      </c>
      <c r="DK28" s="305">
        <v>16</v>
      </c>
      <c r="DL28" s="319" cm="1">
        <f t="array" aca="1" ref="DL28" ca="1">ROUNDUP(SUMPRODUCT(--($D$7:$DI$7=DL$7),$D28:$DI28,$D$3:$DI$3),3)</f>
        <v>5.4</v>
      </c>
      <c r="DM28" s="321">
        <f t="shared" ca="1" si="74"/>
        <v>8</v>
      </c>
      <c r="DN28" s="451">
        <f t="shared" ca="1" si="16"/>
        <v>8</v>
      </c>
      <c r="DO28" s="316" t="s">
        <v>12</v>
      </c>
      <c r="DP28" s="340" t="s">
        <v>56</v>
      </c>
      <c r="DQ28" s="633"/>
    </row>
    <row r="29" spans="2:121" s="445" customFormat="1" ht="15" customHeight="1">
      <c r="B29" s="341" t="s">
        <v>56</v>
      </c>
      <c r="C29" s="324" t="s">
        <v>345</v>
      </c>
      <c r="D29" s="325">
        <v>69</v>
      </c>
      <c r="E29" s="326">
        <f t="shared" si="85"/>
        <v>8</v>
      </c>
      <c r="F29" s="326">
        <f t="shared" si="18"/>
        <v>3</v>
      </c>
      <c r="G29" s="327">
        <v>69</v>
      </c>
      <c r="H29" s="328">
        <f t="shared" si="86"/>
        <v>8</v>
      </c>
      <c r="I29" s="389">
        <f t="shared" si="20"/>
        <v>3</v>
      </c>
      <c r="J29" s="325">
        <v>0</v>
      </c>
      <c r="K29" s="326">
        <f t="shared" si="87"/>
        <v>9</v>
      </c>
      <c r="L29" s="326">
        <f t="shared" si="22"/>
        <v>1</v>
      </c>
      <c r="M29" s="330">
        <v>0.95</v>
      </c>
      <c r="N29" s="328">
        <f t="shared" si="88"/>
        <v>10</v>
      </c>
      <c r="O29" s="329">
        <f t="shared" si="24"/>
        <v>2</v>
      </c>
      <c r="P29" s="325">
        <v>0</v>
      </c>
      <c r="Q29" s="326">
        <f t="shared" si="89"/>
        <v>6</v>
      </c>
      <c r="R29" s="326">
        <f t="shared" si="26"/>
        <v>1</v>
      </c>
      <c r="S29" s="330">
        <v>0</v>
      </c>
      <c r="T29" s="328">
        <f t="shared" si="8"/>
        <v>9</v>
      </c>
      <c r="U29" s="329">
        <f t="shared" si="9"/>
        <v>1</v>
      </c>
      <c r="V29" s="329">
        <f>SUMIFS($D29:U29,$D$6:U$6,V$12,$D$7:U$7,V$7,$D$5:U$5,V$5,$D$4:U$4,"&lt;&gt;"&amp;V$4)</f>
        <v>5</v>
      </c>
      <c r="W29" s="308">
        <f t="shared" si="27"/>
        <v>9</v>
      </c>
      <c r="X29" s="329">
        <f>SUMIFS($D29:W29,$D$6:W$6,X$12,$D$7:W$7,X$7,$D$5:W$5,X$5,$D$4:W$4,"&lt;&gt;"&amp;X$4)</f>
        <v>6</v>
      </c>
      <c r="Y29" s="308">
        <f t="shared" si="27"/>
        <v>9</v>
      </c>
      <c r="Z29" s="325">
        <v>37.65</v>
      </c>
      <c r="AA29" s="326">
        <f t="shared" si="90"/>
        <v>9</v>
      </c>
      <c r="AB29" s="326">
        <f t="shared" si="29"/>
        <v>2</v>
      </c>
      <c r="AC29" s="327">
        <v>38</v>
      </c>
      <c r="AD29" s="328">
        <f t="shared" si="30"/>
        <v>9</v>
      </c>
      <c r="AE29" s="329">
        <f t="shared" si="31"/>
        <v>2</v>
      </c>
      <c r="AF29" s="325">
        <v>0</v>
      </c>
      <c r="AG29" s="326">
        <f t="shared" si="10"/>
        <v>10</v>
      </c>
      <c r="AH29" s="326">
        <f t="shared" si="32"/>
        <v>1</v>
      </c>
      <c r="AI29" s="330">
        <v>0</v>
      </c>
      <c r="AJ29" s="328">
        <f t="shared" si="11"/>
        <v>10</v>
      </c>
      <c r="AK29" s="329">
        <f t="shared" si="33"/>
        <v>1</v>
      </c>
      <c r="AL29" s="325">
        <v>2.15</v>
      </c>
      <c r="AM29" s="326">
        <f t="shared" si="34"/>
        <v>5</v>
      </c>
      <c r="AN29" s="326">
        <f t="shared" si="35"/>
        <v>2</v>
      </c>
      <c r="AO29" s="449"/>
      <c r="AP29" s="449"/>
      <c r="AQ29" s="450"/>
      <c r="AR29" s="329">
        <f>SUMIFS($D29:AQ29,$D$6:AQ$6,AR$12,$D$7:AQ$7,AR$7,$D$5:AQ$5,AR$5,$D$4:AQ$4,"&lt;&gt;"&amp;AR$4)</f>
        <v>5</v>
      </c>
      <c r="AS29" s="308">
        <f t="shared" si="36"/>
        <v>11</v>
      </c>
      <c r="AT29" s="329">
        <f>SUMIFS($D29:AS29,$D$6:AS$6,AT$12,$D$7:AS$7,AT$7,$D$5:AS$5,AT$5,$D$4:AS$4,"&lt;&gt;"&amp;AT$4)</f>
        <v>3</v>
      </c>
      <c r="AU29" s="308">
        <f t="shared" si="36"/>
        <v>9</v>
      </c>
      <c r="AV29" s="325">
        <v>750</v>
      </c>
      <c r="AW29" s="326">
        <f t="shared" si="37"/>
        <v>5</v>
      </c>
      <c r="AX29" s="326">
        <f t="shared" si="38"/>
        <v>4</v>
      </c>
      <c r="AY29" s="327">
        <v>1000</v>
      </c>
      <c r="AZ29" s="328">
        <f t="shared" si="39"/>
        <v>5</v>
      </c>
      <c r="BA29" s="329">
        <f t="shared" si="40"/>
        <v>4</v>
      </c>
      <c r="BB29" s="325">
        <v>5</v>
      </c>
      <c r="BC29" s="326">
        <f t="shared" si="41"/>
        <v>6</v>
      </c>
      <c r="BD29" s="326">
        <f t="shared" si="42"/>
        <v>3</v>
      </c>
      <c r="BE29" s="330">
        <v>5</v>
      </c>
      <c r="BF29" s="328">
        <f t="shared" si="43"/>
        <v>6</v>
      </c>
      <c r="BG29" s="329">
        <f t="shared" si="44"/>
        <v>2</v>
      </c>
      <c r="BH29" s="325">
        <v>25.392150000000001</v>
      </c>
      <c r="BI29" s="326">
        <f t="shared" si="45"/>
        <v>5</v>
      </c>
      <c r="BJ29" s="326" cm="1">
        <f t="array" ref="BJ29">_xlfn.IFS(BH29&lt;BH$47, 1, BH29&lt;BH$48,2,BH29&lt;BH$49,3,BH29&lt;BH$50,4,BH29&gt;=BH$50,5)</f>
        <v>3</v>
      </c>
      <c r="BK29" s="331">
        <v>21.891999999999999</v>
      </c>
      <c r="BL29" s="328">
        <f t="shared" si="117"/>
        <v>5</v>
      </c>
      <c r="BM29" s="329">
        <f t="shared" si="47"/>
        <v>2</v>
      </c>
      <c r="BN29" s="329">
        <f>SUMIFS($D29:BM29,$D$6:BM$6,BN$12,$D$7:BM$7,BN$7,$D$5:BM$5,BN$5,$D$4:BM$4,"&lt;&gt;"&amp;BN$4)</f>
        <v>10</v>
      </c>
      <c r="BO29" s="308">
        <f t="shared" ref="BO29" si="153">RANK(BN29,BN$13:BN$42,0)</f>
        <v>5</v>
      </c>
      <c r="BP29" s="329">
        <f>SUMIFS($D29:BO29,$D$6:BO$6,BP$12,$D$7:BO$7,BP$7,$D$5:BO$5,BP$5,$D$4:BO$4,"&lt;&gt;"&amp;BP$4)</f>
        <v>8</v>
      </c>
      <c r="BQ29" s="308">
        <f t="shared" ref="BQ29" si="154">RANK(BP29,BP$13:BP$42,0)</f>
        <v>5</v>
      </c>
      <c r="BR29" s="325">
        <v>0</v>
      </c>
      <c r="BS29" s="326">
        <f t="shared" si="50"/>
        <v>7</v>
      </c>
      <c r="BT29" s="326">
        <f t="shared" si="51"/>
        <v>1</v>
      </c>
      <c r="BU29" s="327">
        <v>3099</v>
      </c>
      <c r="BV29" s="328">
        <f t="shared" si="52"/>
        <v>8</v>
      </c>
      <c r="BW29" s="329">
        <f t="shared" si="53"/>
        <v>2</v>
      </c>
      <c r="BX29" s="325">
        <v>0</v>
      </c>
      <c r="BY29" s="326">
        <f t="shared" si="54"/>
        <v>10</v>
      </c>
      <c r="BZ29" s="326">
        <f t="shared" si="55"/>
        <v>1</v>
      </c>
      <c r="CA29" s="327">
        <v>0</v>
      </c>
      <c r="CB29" s="328">
        <f t="shared" si="56"/>
        <v>11</v>
      </c>
      <c r="CC29" s="329">
        <f t="shared" si="57"/>
        <v>1</v>
      </c>
      <c r="CD29" s="325">
        <v>0</v>
      </c>
      <c r="CE29" s="326">
        <f t="shared" si="58"/>
        <v>5</v>
      </c>
      <c r="CF29" s="326">
        <f t="shared" si="59"/>
        <v>1</v>
      </c>
      <c r="CG29" s="330">
        <v>0</v>
      </c>
      <c r="CH29" s="328">
        <f t="shared" si="60"/>
        <v>5</v>
      </c>
      <c r="CI29" s="329">
        <f t="shared" si="61"/>
        <v>1</v>
      </c>
      <c r="CJ29" s="329">
        <f>SUMIFS($D29:CI29,$D$6:CI$6,CJ$12,$D$7:CI$7,CJ$7,$D$5:CI$5,CJ$5,$D$4:CI$4,"&lt;&gt;"&amp;CJ$4)</f>
        <v>3</v>
      </c>
      <c r="CK29" s="308">
        <f t="shared" ref="CK29" si="155">RANK(CJ29,CJ$13:CJ$42,0)</f>
        <v>12</v>
      </c>
      <c r="CL29" s="329">
        <f>SUMIFS($D29:CK29,$D$6:CK$6,CL$12,$D$7:CK$7,CL$7,$D$5:CK$5,CL$5,$D$4:CK$4,"&lt;&gt;"&amp;CL$4)</f>
        <v>4</v>
      </c>
      <c r="CM29" s="308">
        <f t="shared" si="63"/>
        <v>11</v>
      </c>
      <c r="CN29" s="325">
        <v>340</v>
      </c>
      <c r="CO29" s="326">
        <f t="shared" si="64"/>
        <v>7</v>
      </c>
      <c r="CP29" s="326">
        <f t="shared" si="65"/>
        <v>2</v>
      </c>
      <c r="CQ29" s="327">
        <v>370</v>
      </c>
      <c r="CR29" s="328">
        <f t="shared" si="66"/>
        <v>10</v>
      </c>
      <c r="CS29" s="329">
        <f t="shared" si="67"/>
        <v>1</v>
      </c>
      <c r="CT29" s="325">
        <v>17.5989110707804</v>
      </c>
      <c r="CU29" s="326">
        <f t="shared" si="12"/>
        <v>8</v>
      </c>
      <c r="CV29" s="326">
        <f t="shared" si="68"/>
        <v>2</v>
      </c>
      <c r="CW29" s="330">
        <v>17</v>
      </c>
      <c r="CX29" s="328">
        <f t="shared" si="13"/>
        <v>9</v>
      </c>
      <c r="CY29" s="329">
        <f t="shared" si="69"/>
        <v>2</v>
      </c>
      <c r="CZ29" s="325">
        <v>0</v>
      </c>
      <c r="DA29" s="326">
        <f t="shared" si="94"/>
        <v>8</v>
      </c>
      <c r="DB29" s="326">
        <f t="shared" si="70"/>
        <v>1</v>
      </c>
      <c r="DC29" s="330">
        <v>0</v>
      </c>
      <c r="DD29" s="328">
        <f t="shared" si="15"/>
        <v>8</v>
      </c>
      <c r="DE29" s="329">
        <f t="shared" si="71"/>
        <v>1</v>
      </c>
      <c r="DF29" s="329">
        <f>SUMIFS($D29:DE29,$D$6:DE$6,DF$12,$D$7:DE$7,DF$7,$D$5:DE$5,DF$5,$D$4:DE$4,"&lt;&gt;"&amp;DF$4)</f>
        <v>5</v>
      </c>
      <c r="DG29" s="308">
        <f t="shared" ref="DG29" si="156">RANK(DF29,DF$13:DF$42,0)</f>
        <v>11</v>
      </c>
      <c r="DH29" s="329">
        <f>SUMIFS($D29:DG29,$D$6:DG$6,DH$12,$D$7:DG$7,DH$7,$D$5:DG$5,DH$5,$D$4:DG$4,"&lt;&gt;"&amp;DH$4)</f>
        <v>4</v>
      </c>
      <c r="DI29" s="308">
        <f t="shared" ref="DI29" si="157">RANK(DH29,DH$13:DH$42,0)</f>
        <v>11</v>
      </c>
      <c r="DJ29" s="332" cm="1">
        <f t="array" aca="1" ref="DJ29" ca="1">ROUNDUP(SUMPRODUCT(--($D$7:$DI$7=DJ$7),$D29:$DI29,$D$3:$DI$3),3)</f>
        <v>5.6</v>
      </c>
      <c r="DK29" s="326">
        <v>6</v>
      </c>
      <c r="DL29" s="331" cm="1">
        <f t="array" aca="1" ref="DL29" ca="1">ROUNDUP(SUMPRODUCT(--($D$7:$DI$7=DL$7),$D29:$DI29,$D$3:$DI$3),3)</f>
        <v>5</v>
      </c>
      <c r="DM29" s="333">
        <f t="shared" ca="1" si="74"/>
        <v>10</v>
      </c>
      <c r="DN29" s="451">
        <f t="shared" ca="1" si="16"/>
        <v>-4</v>
      </c>
      <c r="DO29" s="324" t="s">
        <v>345</v>
      </c>
      <c r="DP29" s="342" t="s">
        <v>56</v>
      </c>
      <c r="DQ29" s="633"/>
    </row>
    <row r="30" spans="2:121" s="445" customFormat="1" ht="15" customHeight="1">
      <c r="B30" s="301" t="s">
        <v>86</v>
      </c>
      <c r="C30" s="302" t="s">
        <v>59</v>
      </c>
      <c r="D30" s="303">
        <v>0</v>
      </c>
      <c r="E30" s="304">
        <f t="shared" si="85"/>
        <v>13</v>
      </c>
      <c r="F30" s="304">
        <f t="shared" si="18"/>
        <v>1</v>
      </c>
      <c r="G30" s="306">
        <v>0</v>
      </c>
      <c r="H30" s="312">
        <f t="shared" si="86"/>
        <v>15</v>
      </c>
      <c r="I30" s="383">
        <f t="shared" si="20"/>
        <v>1</v>
      </c>
      <c r="J30" s="303">
        <v>0</v>
      </c>
      <c r="K30" s="304">
        <f t="shared" si="87"/>
        <v>9</v>
      </c>
      <c r="L30" s="304">
        <f t="shared" si="22"/>
        <v>1</v>
      </c>
      <c r="M30" s="310">
        <v>0</v>
      </c>
      <c r="N30" s="312">
        <f t="shared" si="88"/>
        <v>13</v>
      </c>
      <c r="O30" s="335">
        <f t="shared" si="24"/>
        <v>1</v>
      </c>
      <c r="P30" s="303">
        <v>0</v>
      </c>
      <c r="Q30" s="304">
        <f t="shared" si="89"/>
        <v>6</v>
      </c>
      <c r="R30" s="304">
        <f t="shared" si="26"/>
        <v>1</v>
      </c>
      <c r="S30" s="310">
        <v>0</v>
      </c>
      <c r="T30" s="312">
        <f t="shared" si="8"/>
        <v>9</v>
      </c>
      <c r="U30" s="335">
        <f t="shared" si="9"/>
        <v>1</v>
      </c>
      <c r="V30" s="335">
        <f>SUMIFS($D30:U30,$D$6:U$6,V$12,$D$7:U$7,V$7,$D$5:U$5,V$5,$D$4:U$4,"&lt;&gt;"&amp;V$4)</f>
        <v>3</v>
      </c>
      <c r="W30" s="308">
        <f t="shared" si="27"/>
        <v>15</v>
      </c>
      <c r="X30" s="335">
        <f>SUMIFS($D30:W30,$D$6:W$6,X$12,$D$7:W$7,X$7,$D$5:W$5,X$5,$D$4:W$4,"&lt;&gt;"&amp;X$4)</f>
        <v>3</v>
      </c>
      <c r="Y30" s="308">
        <f t="shared" si="27"/>
        <v>15</v>
      </c>
      <c r="Z30" s="303">
        <v>0</v>
      </c>
      <c r="AA30" s="304">
        <f t="shared" si="90"/>
        <v>11</v>
      </c>
      <c r="AB30" s="304">
        <f t="shared" si="29"/>
        <v>1</v>
      </c>
      <c r="AC30" s="306">
        <v>0</v>
      </c>
      <c r="AD30" s="312">
        <f t="shared" si="30"/>
        <v>11</v>
      </c>
      <c r="AE30" s="335">
        <f t="shared" si="31"/>
        <v>1</v>
      </c>
      <c r="AF30" s="303">
        <v>0</v>
      </c>
      <c r="AG30" s="304">
        <f t="shared" si="10"/>
        <v>10</v>
      </c>
      <c r="AH30" s="304">
        <f t="shared" si="32"/>
        <v>1</v>
      </c>
      <c r="AI30" s="310">
        <v>0</v>
      </c>
      <c r="AJ30" s="312">
        <f t="shared" si="11"/>
        <v>10</v>
      </c>
      <c r="AK30" s="335">
        <f t="shared" si="33"/>
        <v>1</v>
      </c>
      <c r="AL30" s="303">
        <v>0</v>
      </c>
      <c r="AM30" s="304">
        <f t="shared" si="34"/>
        <v>9</v>
      </c>
      <c r="AN30" s="304">
        <f t="shared" si="35"/>
        <v>1</v>
      </c>
      <c r="AO30" s="449"/>
      <c r="AP30" s="449"/>
      <c r="AQ30" s="450"/>
      <c r="AR30" s="335">
        <f>SUMIFS($D30:AQ30,$D$6:AQ$6,AR$12,$D$7:AQ$7,AR$7,$D$5:AQ$5,AR$5,$D$4:AQ$4,"&lt;&gt;"&amp;AR$4)</f>
        <v>3</v>
      </c>
      <c r="AS30" s="308">
        <f t="shared" si="36"/>
        <v>14</v>
      </c>
      <c r="AT30" s="335">
        <f>SUMIFS($D30:AS30,$D$6:AS$6,AT$12,$D$7:AS$7,AT$7,$D$5:AS$5,AT$5,$D$4:AS$4,"&lt;&gt;"&amp;AT$4)</f>
        <v>2</v>
      </c>
      <c r="AU30" s="308">
        <f t="shared" si="36"/>
        <v>10</v>
      </c>
      <c r="AV30" s="303">
        <v>2200</v>
      </c>
      <c r="AW30" s="304">
        <f t="shared" si="37"/>
        <v>3</v>
      </c>
      <c r="AX30" s="304">
        <f t="shared" si="38"/>
        <v>4</v>
      </c>
      <c r="AY30" s="306">
        <v>2700</v>
      </c>
      <c r="AZ30" s="312">
        <f t="shared" si="39"/>
        <v>3</v>
      </c>
      <c r="BA30" s="335">
        <f t="shared" si="40"/>
        <v>5</v>
      </c>
      <c r="BB30" s="303">
        <v>50.05</v>
      </c>
      <c r="BC30" s="304">
        <f t="shared" si="41"/>
        <v>4</v>
      </c>
      <c r="BD30" s="304">
        <f t="shared" si="42"/>
        <v>5</v>
      </c>
      <c r="BE30" s="310">
        <v>55.3</v>
      </c>
      <c r="BF30" s="312">
        <f t="shared" si="43"/>
        <v>4</v>
      </c>
      <c r="BG30" s="335">
        <f t="shared" si="44"/>
        <v>3</v>
      </c>
      <c r="BH30" s="303">
        <v>63</v>
      </c>
      <c r="BI30" s="304">
        <f t="shared" si="45"/>
        <v>3</v>
      </c>
      <c r="BJ30" s="304" cm="1">
        <f t="array" ref="BJ30">_xlfn.IFS(BH30&lt;BH$47, 1, BH30&lt;BH$48,2,BH30&lt;BH$49,3,BH30&lt;BH$50,4,BH30&gt;=BH$50,5)</f>
        <v>4</v>
      </c>
      <c r="BK30" s="309">
        <v>33.5</v>
      </c>
      <c r="BL30" s="312">
        <f t="shared" si="117"/>
        <v>4</v>
      </c>
      <c r="BM30" s="335">
        <f t="shared" si="47"/>
        <v>3</v>
      </c>
      <c r="BN30" s="335">
        <f>SUMIFS($D30:BM30,$D$6:BM$6,BN$12,$D$7:BM$7,BN$7,$D$5:BM$5,BN$5,$D$4:BM$4,"&lt;&gt;"&amp;BN$4)</f>
        <v>13</v>
      </c>
      <c r="BO30" s="308">
        <f t="shared" ref="BO30" si="158">RANK(BN30,BN$13:BN$42,0)</f>
        <v>4</v>
      </c>
      <c r="BP30" s="335">
        <f>SUMIFS($D30:BO30,$D$6:BO$6,BP$12,$D$7:BO$7,BP$7,$D$5:BO$5,BP$5,$D$4:BO$4,"&lt;&gt;"&amp;BP$4)</f>
        <v>11</v>
      </c>
      <c r="BQ30" s="308">
        <f t="shared" ref="BQ30" si="159">RANK(BP30,BP$13:BP$42,0)</f>
        <v>4</v>
      </c>
      <c r="BR30" s="303">
        <v>0</v>
      </c>
      <c r="BS30" s="304">
        <f t="shared" si="50"/>
        <v>7</v>
      </c>
      <c r="BT30" s="304">
        <f t="shared" si="51"/>
        <v>1</v>
      </c>
      <c r="BU30" s="306">
        <v>0</v>
      </c>
      <c r="BV30" s="312">
        <f t="shared" si="52"/>
        <v>10</v>
      </c>
      <c r="BW30" s="335">
        <f t="shared" si="53"/>
        <v>1</v>
      </c>
      <c r="BX30" s="303">
        <v>0</v>
      </c>
      <c r="BY30" s="304">
        <f t="shared" si="54"/>
        <v>10</v>
      </c>
      <c r="BZ30" s="304">
        <f t="shared" si="55"/>
        <v>1</v>
      </c>
      <c r="CA30" s="306">
        <v>0</v>
      </c>
      <c r="CB30" s="312">
        <f t="shared" si="56"/>
        <v>11</v>
      </c>
      <c r="CC30" s="335">
        <f t="shared" si="57"/>
        <v>1</v>
      </c>
      <c r="CD30" s="303">
        <v>0</v>
      </c>
      <c r="CE30" s="304">
        <f t="shared" si="58"/>
        <v>5</v>
      </c>
      <c r="CF30" s="304">
        <f t="shared" si="59"/>
        <v>1</v>
      </c>
      <c r="CG30" s="310">
        <v>0</v>
      </c>
      <c r="CH30" s="312">
        <f t="shared" si="60"/>
        <v>5</v>
      </c>
      <c r="CI30" s="335">
        <f t="shared" si="61"/>
        <v>1</v>
      </c>
      <c r="CJ30" s="335">
        <f>SUMIFS($D30:CI30,$D$6:CI$6,CJ$12,$D$7:CI$7,CJ$7,$D$5:CI$5,CJ$5,$D$4:CI$4,"&lt;&gt;"&amp;CJ$4)</f>
        <v>3</v>
      </c>
      <c r="CK30" s="308">
        <f t="shared" ref="CK30" si="160">RANK(CJ30,CJ$13:CJ$42,0)</f>
        <v>12</v>
      </c>
      <c r="CL30" s="335">
        <f>SUMIFS($D30:CK30,$D$6:CK$6,CL$12,$D$7:CK$7,CL$7,$D$5:CK$5,CL$5,$D$4:CK$4,"&lt;&gt;"&amp;CL$4)</f>
        <v>3</v>
      </c>
      <c r="CM30" s="308">
        <f t="shared" si="63"/>
        <v>16</v>
      </c>
      <c r="CN30" s="303">
        <v>0</v>
      </c>
      <c r="CO30" s="304">
        <f t="shared" si="64"/>
        <v>8</v>
      </c>
      <c r="CP30" s="304">
        <f t="shared" si="65"/>
        <v>1</v>
      </c>
      <c r="CQ30" s="306">
        <v>0</v>
      </c>
      <c r="CR30" s="312">
        <f t="shared" si="66"/>
        <v>11</v>
      </c>
      <c r="CS30" s="335">
        <f t="shared" si="67"/>
        <v>1</v>
      </c>
      <c r="CT30" s="303">
        <v>0</v>
      </c>
      <c r="CU30" s="304">
        <f t="shared" si="12"/>
        <v>12</v>
      </c>
      <c r="CV30" s="304">
        <f t="shared" si="68"/>
        <v>1</v>
      </c>
      <c r="CW30" s="310">
        <v>0</v>
      </c>
      <c r="CX30" s="312">
        <f t="shared" si="13"/>
        <v>13</v>
      </c>
      <c r="CY30" s="335">
        <f t="shared" si="69"/>
        <v>1</v>
      </c>
      <c r="CZ30" s="303">
        <v>0</v>
      </c>
      <c r="DA30" s="304">
        <f t="shared" si="94"/>
        <v>8</v>
      </c>
      <c r="DB30" s="304">
        <f t="shared" si="70"/>
        <v>1</v>
      </c>
      <c r="DC30" s="310">
        <v>0</v>
      </c>
      <c r="DD30" s="312">
        <f t="shared" si="15"/>
        <v>8</v>
      </c>
      <c r="DE30" s="335">
        <f t="shared" si="71"/>
        <v>1</v>
      </c>
      <c r="DF30" s="335">
        <f>SUMIFS($D30:DE30,$D$6:DE$6,DF$12,$D$7:DE$7,DF$7,$D$5:DE$5,DF$5,$D$4:DE$4,"&lt;&gt;"&amp;DF$4)</f>
        <v>3</v>
      </c>
      <c r="DG30" s="308">
        <f t="shared" ref="DG30" si="161">RANK(DF30,DF$13:DF$42,0)</f>
        <v>13</v>
      </c>
      <c r="DH30" s="335">
        <f>SUMIFS($D30:DG30,$D$6:DG$6,DH$12,$D$7:DG$7,DH$7,$D$5:DG$5,DH$5,$D$4:DG$4,"&lt;&gt;"&amp;DH$4)</f>
        <v>3</v>
      </c>
      <c r="DI30" s="308">
        <f t="shared" ref="DI30" si="162">RANK(DH30,DH$13:DH$42,0)</f>
        <v>14</v>
      </c>
      <c r="DJ30" s="336" cm="1">
        <f t="array" aca="1" ref="DJ30" ca="1">ROUNDUP(SUMPRODUCT(--($D$7:$DI$7=DJ$7),$D30:$DI30,$D$3:$DI$3),3)</f>
        <v>5</v>
      </c>
      <c r="DK30" s="304">
        <v>11</v>
      </c>
      <c r="DL30" s="309" cm="1">
        <f t="array" aca="1" ref="DL30" ca="1">ROUNDUP(SUMPRODUCT(--($D$7:$DI$7=DL$7),$D30:$DI30,$D$3:$DI$3),3)</f>
        <v>4.4000000000000004</v>
      </c>
      <c r="DM30" s="313">
        <f t="shared" ca="1" si="74"/>
        <v>14</v>
      </c>
      <c r="DN30" s="451">
        <f t="shared" ca="1" si="16"/>
        <v>-3</v>
      </c>
      <c r="DO30" s="302" t="s">
        <v>59</v>
      </c>
      <c r="DP30" s="314" t="s">
        <v>86</v>
      </c>
      <c r="DQ30" s="633"/>
    </row>
    <row r="31" spans="2:121" s="445" customFormat="1" ht="15" customHeight="1">
      <c r="B31" s="315" t="s">
        <v>86</v>
      </c>
      <c r="C31" s="316" t="s">
        <v>346</v>
      </c>
      <c r="D31" s="317">
        <v>0</v>
      </c>
      <c r="E31" s="305">
        <f t="shared" si="85"/>
        <v>13</v>
      </c>
      <c r="F31" s="305">
        <f t="shared" si="18"/>
        <v>1</v>
      </c>
      <c r="G31" s="318">
        <v>0</v>
      </c>
      <c r="H31" s="307">
        <f t="shared" si="86"/>
        <v>15</v>
      </c>
      <c r="I31" s="386">
        <f t="shared" si="20"/>
        <v>1</v>
      </c>
      <c r="J31" s="317">
        <v>0</v>
      </c>
      <c r="K31" s="305">
        <f t="shared" si="87"/>
        <v>9</v>
      </c>
      <c r="L31" s="305">
        <f t="shared" si="22"/>
        <v>1</v>
      </c>
      <c r="M31" s="320">
        <v>0</v>
      </c>
      <c r="N31" s="307">
        <f t="shared" si="88"/>
        <v>13</v>
      </c>
      <c r="O31" s="308">
        <f t="shared" si="24"/>
        <v>1</v>
      </c>
      <c r="P31" s="317">
        <v>0</v>
      </c>
      <c r="Q31" s="305">
        <f t="shared" si="89"/>
        <v>6</v>
      </c>
      <c r="R31" s="305">
        <f t="shared" si="26"/>
        <v>1</v>
      </c>
      <c r="S31" s="320">
        <v>0</v>
      </c>
      <c r="T31" s="307">
        <f t="shared" si="8"/>
        <v>9</v>
      </c>
      <c r="U31" s="308">
        <f t="shared" si="9"/>
        <v>1</v>
      </c>
      <c r="V31" s="308">
        <f>SUMIFS($D31:U31,$D$6:U$6,V$12,$D$7:U$7,V$7,$D$5:U$5,V$5,$D$4:U$4,"&lt;&gt;"&amp;V$4)</f>
        <v>3</v>
      </c>
      <c r="W31" s="308">
        <f t="shared" si="27"/>
        <v>15</v>
      </c>
      <c r="X31" s="308">
        <f>SUMIFS($D31:W31,$D$6:W$6,X$12,$D$7:W$7,X$7,$D$5:W$5,X$5,$D$4:W$4,"&lt;&gt;"&amp;X$4)</f>
        <v>3</v>
      </c>
      <c r="Y31" s="308">
        <f t="shared" si="27"/>
        <v>15</v>
      </c>
      <c r="Z31" s="317">
        <v>0</v>
      </c>
      <c r="AA31" s="305">
        <f t="shared" si="90"/>
        <v>11</v>
      </c>
      <c r="AB31" s="305">
        <f t="shared" si="29"/>
        <v>1</v>
      </c>
      <c r="AC31" s="318">
        <v>0</v>
      </c>
      <c r="AD31" s="307">
        <f t="shared" si="30"/>
        <v>11</v>
      </c>
      <c r="AE31" s="308">
        <f t="shared" si="31"/>
        <v>1</v>
      </c>
      <c r="AF31" s="317">
        <v>0</v>
      </c>
      <c r="AG31" s="305">
        <f t="shared" si="10"/>
        <v>10</v>
      </c>
      <c r="AH31" s="305">
        <f t="shared" si="32"/>
        <v>1</v>
      </c>
      <c r="AI31" s="320">
        <v>0</v>
      </c>
      <c r="AJ31" s="307">
        <f t="shared" si="11"/>
        <v>10</v>
      </c>
      <c r="AK31" s="308">
        <f t="shared" si="33"/>
        <v>1</v>
      </c>
      <c r="AL31" s="317">
        <v>0</v>
      </c>
      <c r="AM31" s="305">
        <f t="shared" si="34"/>
        <v>9</v>
      </c>
      <c r="AN31" s="305">
        <f t="shared" si="35"/>
        <v>1</v>
      </c>
      <c r="AO31" s="449"/>
      <c r="AP31" s="449"/>
      <c r="AQ31" s="450"/>
      <c r="AR31" s="308">
        <f>SUMIFS($D31:AQ31,$D$6:AQ$6,AR$12,$D$7:AQ$7,AR$7,$D$5:AQ$5,AR$5,$D$4:AQ$4,"&lt;&gt;"&amp;AR$4)</f>
        <v>3</v>
      </c>
      <c r="AS31" s="308">
        <f t="shared" si="36"/>
        <v>14</v>
      </c>
      <c r="AT31" s="308">
        <f>SUMIFS($D31:AS31,$D$6:AS$6,AT$12,$D$7:AS$7,AT$7,$D$5:AS$5,AT$5,$D$4:AS$4,"&lt;&gt;"&amp;AT$4)</f>
        <v>2</v>
      </c>
      <c r="AU31" s="308">
        <f t="shared" si="36"/>
        <v>10</v>
      </c>
      <c r="AV31" s="317">
        <v>0</v>
      </c>
      <c r="AW31" s="305">
        <f t="shared" si="37"/>
        <v>13</v>
      </c>
      <c r="AX31" s="305">
        <f t="shared" si="38"/>
        <v>1</v>
      </c>
      <c r="AY31" s="318">
        <v>0</v>
      </c>
      <c r="AZ31" s="307">
        <f t="shared" si="39"/>
        <v>14</v>
      </c>
      <c r="BA31" s="308">
        <f t="shared" si="40"/>
        <v>1</v>
      </c>
      <c r="BB31" s="317">
        <v>0</v>
      </c>
      <c r="BC31" s="305">
        <f t="shared" si="41"/>
        <v>8</v>
      </c>
      <c r="BD31" s="305">
        <f t="shared" si="42"/>
        <v>1</v>
      </c>
      <c r="BE31" s="320">
        <v>0</v>
      </c>
      <c r="BF31" s="307">
        <f t="shared" si="43"/>
        <v>8</v>
      </c>
      <c r="BG31" s="308">
        <f t="shared" si="44"/>
        <v>1</v>
      </c>
      <c r="BH31" s="317">
        <v>0</v>
      </c>
      <c r="BI31" s="305">
        <f t="shared" si="45"/>
        <v>9</v>
      </c>
      <c r="BJ31" s="305" cm="1">
        <f t="array" ref="BJ31">_xlfn.IFS(BH31&lt;BH$47, 1, BH31&lt;BH$48,2,BH31&lt;BH$49,3,BH31&lt;BH$50,4,BH31&gt;=BH$50,5)</f>
        <v>1</v>
      </c>
      <c r="BK31" s="319">
        <v>0</v>
      </c>
      <c r="BL31" s="307">
        <f t="shared" si="117"/>
        <v>7</v>
      </c>
      <c r="BM31" s="308">
        <f t="shared" si="47"/>
        <v>1</v>
      </c>
      <c r="BN31" s="308">
        <f>SUMIFS($D31:BM31,$D$6:BM$6,BN$12,$D$7:BM$7,BN$7,$D$5:BM$5,BN$5,$D$4:BM$4,"&lt;&gt;"&amp;BN$4)</f>
        <v>3</v>
      </c>
      <c r="BO31" s="308">
        <f t="shared" ref="BO31" si="163">RANK(BN31,BN$13:BN$42,0)</f>
        <v>14</v>
      </c>
      <c r="BP31" s="308">
        <f>SUMIFS($D31:BO31,$D$6:BO$6,BP$12,$D$7:BO$7,BP$7,$D$5:BO$5,BP$5,$D$4:BO$4,"&lt;&gt;"&amp;BP$4)</f>
        <v>3</v>
      </c>
      <c r="BQ31" s="308">
        <f t="shared" ref="BQ31" si="164">RANK(BP31,BP$13:BP$42,0)</f>
        <v>13</v>
      </c>
      <c r="BR31" s="317">
        <v>0</v>
      </c>
      <c r="BS31" s="305">
        <f t="shared" si="50"/>
        <v>7</v>
      </c>
      <c r="BT31" s="305">
        <f t="shared" si="51"/>
        <v>1</v>
      </c>
      <c r="BU31" s="318">
        <v>0</v>
      </c>
      <c r="BV31" s="307">
        <f t="shared" si="52"/>
        <v>10</v>
      </c>
      <c r="BW31" s="308">
        <f t="shared" si="53"/>
        <v>1</v>
      </c>
      <c r="BX31" s="317">
        <v>0</v>
      </c>
      <c r="BY31" s="305">
        <f t="shared" si="54"/>
        <v>10</v>
      </c>
      <c r="BZ31" s="305">
        <f t="shared" si="55"/>
        <v>1</v>
      </c>
      <c r="CA31" s="318">
        <v>0</v>
      </c>
      <c r="CB31" s="307">
        <f t="shared" si="56"/>
        <v>11</v>
      </c>
      <c r="CC31" s="308">
        <f t="shared" si="57"/>
        <v>1</v>
      </c>
      <c r="CD31" s="317">
        <v>0</v>
      </c>
      <c r="CE31" s="305">
        <f t="shared" si="58"/>
        <v>5</v>
      </c>
      <c r="CF31" s="305">
        <f t="shared" si="59"/>
        <v>1</v>
      </c>
      <c r="CG31" s="320">
        <v>0</v>
      </c>
      <c r="CH31" s="307">
        <f t="shared" si="60"/>
        <v>5</v>
      </c>
      <c r="CI31" s="308">
        <f t="shared" si="61"/>
        <v>1</v>
      </c>
      <c r="CJ31" s="308">
        <f>SUMIFS($D31:CI31,$D$6:CI$6,CJ$12,$D$7:CI$7,CJ$7,$D$5:CI$5,CJ$5,$D$4:CI$4,"&lt;&gt;"&amp;CJ$4)</f>
        <v>3</v>
      </c>
      <c r="CK31" s="308">
        <f t="shared" ref="CK31" si="165">RANK(CJ31,CJ$13:CJ$42,0)</f>
        <v>12</v>
      </c>
      <c r="CL31" s="308">
        <f>SUMIFS($D31:CK31,$D$6:CK$6,CL$12,$D$7:CK$7,CL$7,$D$5:CK$5,CL$5,$D$4:CK$4,"&lt;&gt;"&amp;CL$4)</f>
        <v>3</v>
      </c>
      <c r="CM31" s="308">
        <f t="shared" si="63"/>
        <v>16</v>
      </c>
      <c r="CN31" s="317">
        <v>0</v>
      </c>
      <c r="CO31" s="305">
        <f t="shared" si="64"/>
        <v>8</v>
      </c>
      <c r="CP31" s="305">
        <f t="shared" si="65"/>
        <v>1</v>
      </c>
      <c r="CQ31" s="318">
        <v>0</v>
      </c>
      <c r="CR31" s="307">
        <f t="shared" si="66"/>
        <v>11</v>
      </c>
      <c r="CS31" s="308">
        <f t="shared" si="67"/>
        <v>1</v>
      </c>
      <c r="CT31" s="317">
        <v>0</v>
      </c>
      <c r="CU31" s="305">
        <f t="shared" si="12"/>
        <v>12</v>
      </c>
      <c r="CV31" s="305">
        <f t="shared" si="68"/>
        <v>1</v>
      </c>
      <c r="CW31" s="320">
        <v>0</v>
      </c>
      <c r="CX31" s="307">
        <f t="shared" si="13"/>
        <v>13</v>
      </c>
      <c r="CY31" s="308">
        <f t="shared" si="69"/>
        <v>1</v>
      </c>
      <c r="CZ31" s="317">
        <v>0</v>
      </c>
      <c r="DA31" s="305">
        <f t="shared" si="94"/>
        <v>8</v>
      </c>
      <c r="DB31" s="305">
        <f t="shared" si="70"/>
        <v>1</v>
      </c>
      <c r="DC31" s="320">
        <v>0</v>
      </c>
      <c r="DD31" s="307">
        <f t="shared" si="15"/>
        <v>8</v>
      </c>
      <c r="DE31" s="308">
        <f t="shared" si="71"/>
        <v>1</v>
      </c>
      <c r="DF31" s="308">
        <f>SUMIFS($D31:DE31,$D$6:DE$6,DF$12,$D$7:DE$7,DF$7,$D$5:DE$5,DF$5,$D$4:DE$4,"&lt;&gt;"&amp;DF$4)</f>
        <v>3</v>
      </c>
      <c r="DG31" s="308">
        <f t="shared" ref="DG31" si="166">RANK(DF31,DF$13:DF$42,0)</f>
        <v>13</v>
      </c>
      <c r="DH31" s="308">
        <f>SUMIFS($D31:DG31,$D$6:DG$6,DH$12,$D$7:DG$7,DH$7,$D$5:DG$5,DH$5,$D$4:DG$4,"&lt;&gt;"&amp;DH$4)</f>
        <v>3</v>
      </c>
      <c r="DI31" s="308">
        <f t="shared" ref="DI31" si="167">RANK(DH31,DH$13:DH$42,0)</f>
        <v>14</v>
      </c>
      <c r="DJ31" s="311" cm="1">
        <f t="array" aca="1" ref="DJ31" ca="1">ROUNDUP(SUMPRODUCT(--($D$7:$DI$7=DJ$7),$D31:$DI31,$D$3:$DI$3),3)</f>
        <v>3</v>
      </c>
      <c r="DK31" s="305">
        <v>26</v>
      </c>
      <c r="DL31" s="319" cm="1">
        <f t="array" aca="1" ref="DL31" ca="1">ROUNDUP(SUMPRODUCT(--($D$7:$DI$7=DL$7),$D31:$DI31,$D$3:$DI$3),3)</f>
        <v>2.8</v>
      </c>
      <c r="DM31" s="321">
        <f t="shared" ca="1" si="74"/>
        <v>24</v>
      </c>
      <c r="DN31" s="451">
        <f t="shared" ca="1" si="16"/>
        <v>2</v>
      </c>
      <c r="DO31" s="316" t="s">
        <v>346</v>
      </c>
      <c r="DP31" s="322" t="s">
        <v>86</v>
      </c>
      <c r="DQ31" s="633"/>
    </row>
    <row r="32" spans="2:121" s="445" customFormat="1" ht="15" customHeight="1">
      <c r="B32" s="315" t="s">
        <v>86</v>
      </c>
      <c r="C32" s="316" t="s">
        <v>11</v>
      </c>
      <c r="D32" s="317">
        <v>10</v>
      </c>
      <c r="E32" s="305">
        <f t="shared" si="85"/>
        <v>11</v>
      </c>
      <c r="F32" s="305">
        <f t="shared" si="18"/>
        <v>2</v>
      </c>
      <c r="G32" s="318">
        <v>10</v>
      </c>
      <c r="H32" s="307">
        <f t="shared" si="86"/>
        <v>12</v>
      </c>
      <c r="I32" s="386">
        <f t="shared" si="20"/>
        <v>2</v>
      </c>
      <c r="J32" s="317">
        <v>0</v>
      </c>
      <c r="K32" s="305">
        <f t="shared" si="87"/>
        <v>9</v>
      </c>
      <c r="L32" s="305">
        <f t="shared" si="22"/>
        <v>1</v>
      </c>
      <c r="M32" s="320">
        <v>0.31</v>
      </c>
      <c r="N32" s="307">
        <f t="shared" si="88"/>
        <v>12</v>
      </c>
      <c r="O32" s="308">
        <f t="shared" si="24"/>
        <v>1</v>
      </c>
      <c r="P32" s="317">
        <v>0</v>
      </c>
      <c r="Q32" s="305">
        <f t="shared" si="89"/>
        <v>6</v>
      </c>
      <c r="R32" s="305">
        <f t="shared" si="26"/>
        <v>1</v>
      </c>
      <c r="S32" s="320">
        <v>0</v>
      </c>
      <c r="T32" s="307">
        <f t="shared" si="8"/>
        <v>9</v>
      </c>
      <c r="U32" s="308">
        <f t="shared" si="9"/>
        <v>1</v>
      </c>
      <c r="V32" s="308">
        <f>SUMIFS($D32:U32,$D$6:U$6,V$12,$D$7:U$7,V$7,$D$5:U$5,V$5,$D$4:U$4,"&lt;&gt;"&amp;V$4)</f>
        <v>4</v>
      </c>
      <c r="W32" s="308">
        <f t="shared" si="27"/>
        <v>11</v>
      </c>
      <c r="X32" s="308">
        <f>SUMIFS($D32:W32,$D$6:W$6,X$12,$D$7:W$7,X$7,$D$5:W$5,X$5,$D$4:W$4,"&lt;&gt;"&amp;X$4)</f>
        <v>4</v>
      </c>
      <c r="Y32" s="308">
        <f t="shared" si="27"/>
        <v>14</v>
      </c>
      <c r="Z32" s="317">
        <v>70000</v>
      </c>
      <c r="AA32" s="305">
        <f t="shared" si="90"/>
        <v>3</v>
      </c>
      <c r="AB32" s="305">
        <f t="shared" si="29"/>
        <v>4</v>
      </c>
      <c r="AC32" s="318">
        <v>74000</v>
      </c>
      <c r="AD32" s="307">
        <f t="shared" si="30"/>
        <v>1</v>
      </c>
      <c r="AE32" s="308">
        <f t="shared" si="31"/>
        <v>5</v>
      </c>
      <c r="AF32" s="317">
        <v>68</v>
      </c>
      <c r="AG32" s="305">
        <f t="shared" si="10"/>
        <v>2</v>
      </c>
      <c r="AH32" s="305">
        <f t="shared" si="32"/>
        <v>5</v>
      </c>
      <c r="AI32" s="320">
        <v>87</v>
      </c>
      <c r="AJ32" s="307">
        <f t="shared" si="11"/>
        <v>2</v>
      </c>
      <c r="AK32" s="308">
        <f t="shared" si="33"/>
        <v>5</v>
      </c>
      <c r="AL32" s="317">
        <v>0</v>
      </c>
      <c r="AM32" s="305">
        <f t="shared" si="34"/>
        <v>9</v>
      </c>
      <c r="AN32" s="305">
        <f t="shared" si="35"/>
        <v>1</v>
      </c>
      <c r="AO32" s="449"/>
      <c r="AP32" s="449"/>
      <c r="AQ32" s="450"/>
      <c r="AR32" s="308">
        <f>SUMIFS($D32:AQ32,$D$6:AQ$6,AR$12,$D$7:AQ$7,AR$7,$D$5:AQ$5,AR$5,$D$4:AQ$4,"&lt;&gt;"&amp;AR$4)</f>
        <v>10</v>
      </c>
      <c r="AS32" s="308">
        <f t="shared" si="36"/>
        <v>2</v>
      </c>
      <c r="AT32" s="308">
        <f>SUMIFS($D32:AS32,$D$6:AS$6,AT$12,$D$7:AS$7,AT$7,$D$5:AS$5,AT$5,$D$4:AS$4,"&lt;&gt;"&amp;AT$4)</f>
        <v>10</v>
      </c>
      <c r="AU32" s="308">
        <f t="shared" si="36"/>
        <v>1</v>
      </c>
      <c r="AV32" s="317">
        <v>95</v>
      </c>
      <c r="AW32" s="305">
        <f t="shared" si="37"/>
        <v>11</v>
      </c>
      <c r="AX32" s="305">
        <f t="shared" si="38"/>
        <v>2</v>
      </c>
      <c r="AY32" s="318">
        <v>250</v>
      </c>
      <c r="AZ32" s="307">
        <f t="shared" si="39"/>
        <v>10</v>
      </c>
      <c r="BA32" s="308">
        <f t="shared" si="40"/>
        <v>2</v>
      </c>
      <c r="BB32" s="317">
        <v>16.634148</v>
      </c>
      <c r="BC32" s="305">
        <f t="shared" si="41"/>
        <v>5</v>
      </c>
      <c r="BD32" s="305">
        <f t="shared" si="42"/>
        <v>3</v>
      </c>
      <c r="BE32" s="320">
        <v>9.3040000000000003</v>
      </c>
      <c r="BF32" s="307">
        <f t="shared" si="43"/>
        <v>5</v>
      </c>
      <c r="BG32" s="308">
        <f t="shared" si="44"/>
        <v>3</v>
      </c>
      <c r="BH32" s="317">
        <v>1.5</v>
      </c>
      <c r="BI32" s="305">
        <f t="shared" si="45"/>
        <v>7</v>
      </c>
      <c r="BJ32" s="305" cm="1">
        <f t="array" ref="BJ32">_xlfn.IFS(BH32&lt;BH$47, 1, BH32&lt;BH$48,2,BH32&lt;BH$49,3,BH32&lt;BH$50,4,BH32&gt;=BH$50,5)</f>
        <v>2</v>
      </c>
      <c r="BK32" s="319">
        <v>1.425</v>
      </c>
      <c r="BL32" s="307">
        <f t="shared" si="117"/>
        <v>6</v>
      </c>
      <c r="BM32" s="308">
        <f t="shared" si="47"/>
        <v>2</v>
      </c>
      <c r="BN32" s="308">
        <f>SUMIFS($D32:BM32,$D$6:BM$6,BN$12,$D$7:BM$7,BN$7,$D$5:BM$5,BN$5,$D$4:BM$4,"&lt;&gt;"&amp;BN$4)</f>
        <v>7</v>
      </c>
      <c r="BO32" s="308">
        <f t="shared" ref="BO32" si="168">RANK(BN32,BN$13:BN$42,0)</f>
        <v>6</v>
      </c>
      <c r="BP32" s="308">
        <f>SUMIFS($D32:BO32,$D$6:BO$6,BP$12,$D$7:BO$7,BP$7,$D$5:BO$5,BP$5,$D$4:BO$4,"&lt;&gt;"&amp;BP$4)</f>
        <v>7</v>
      </c>
      <c r="BQ32" s="308">
        <f t="shared" ref="BQ32" si="169">RANK(BP32,BP$13:BP$42,0)</f>
        <v>6</v>
      </c>
      <c r="BR32" s="317">
        <v>270000</v>
      </c>
      <c r="BS32" s="305">
        <f t="shared" si="50"/>
        <v>2</v>
      </c>
      <c r="BT32" s="305">
        <f t="shared" si="51"/>
        <v>4</v>
      </c>
      <c r="BU32" s="318">
        <v>270000</v>
      </c>
      <c r="BV32" s="307">
        <f t="shared" si="52"/>
        <v>3</v>
      </c>
      <c r="BW32" s="308">
        <f t="shared" si="53"/>
        <v>4</v>
      </c>
      <c r="BX32" s="317">
        <v>2028.9659999999999</v>
      </c>
      <c r="BY32" s="305">
        <f t="shared" si="54"/>
        <v>4</v>
      </c>
      <c r="BZ32" s="305">
        <f t="shared" si="55"/>
        <v>4</v>
      </c>
      <c r="CA32" s="318">
        <v>2134</v>
      </c>
      <c r="CB32" s="307">
        <f t="shared" si="56"/>
        <v>4</v>
      </c>
      <c r="CC32" s="308">
        <f t="shared" si="57"/>
        <v>4</v>
      </c>
      <c r="CD32" s="317">
        <v>0</v>
      </c>
      <c r="CE32" s="305">
        <f t="shared" si="58"/>
        <v>5</v>
      </c>
      <c r="CF32" s="305">
        <f t="shared" si="59"/>
        <v>1</v>
      </c>
      <c r="CG32" s="320">
        <v>0</v>
      </c>
      <c r="CH32" s="307">
        <f t="shared" si="60"/>
        <v>5</v>
      </c>
      <c r="CI32" s="308">
        <f t="shared" si="61"/>
        <v>1</v>
      </c>
      <c r="CJ32" s="308">
        <f>SUMIFS($D32:CI32,$D$6:CI$6,CJ$12,$D$7:CI$7,CJ$7,$D$5:CI$5,CJ$5,$D$4:CI$4,"&lt;&gt;"&amp;CJ$4)</f>
        <v>9</v>
      </c>
      <c r="CK32" s="308">
        <f t="shared" ref="CK32" si="170">RANK(CJ32,CJ$13:CJ$42,0)</f>
        <v>4</v>
      </c>
      <c r="CL32" s="308">
        <f>SUMIFS($D32:CK32,$D$6:CK$6,CL$12,$D$7:CK$7,CL$7,$D$5:CK$5,CL$5,$D$4:CK$4,"&lt;&gt;"&amp;CL$4)</f>
        <v>9</v>
      </c>
      <c r="CM32" s="308">
        <f t="shared" si="63"/>
        <v>4</v>
      </c>
      <c r="CN32" s="317">
        <v>16000</v>
      </c>
      <c r="CO32" s="305">
        <f t="shared" si="64"/>
        <v>2</v>
      </c>
      <c r="CP32" s="305">
        <f t="shared" si="65"/>
        <v>4</v>
      </c>
      <c r="CQ32" s="318">
        <v>16000</v>
      </c>
      <c r="CR32" s="307">
        <f t="shared" si="66"/>
        <v>3</v>
      </c>
      <c r="CS32" s="308">
        <f t="shared" si="67"/>
        <v>4</v>
      </c>
      <c r="CT32" s="317">
        <v>10.1</v>
      </c>
      <c r="CU32" s="305">
        <f t="shared" si="12"/>
        <v>9</v>
      </c>
      <c r="CV32" s="305">
        <f t="shared" si="68"/>
        <v>2</v>
      </c>
      <c r="CW32" s="320">
        <v>19.25</v>
      </c>
      <c r="CX32" s="307">
        <f t="shared" si="13"/>
        <v>8</v>
      </c>
      <c r="CY32" s="308">
        <f t="shared" si="69"/>
        <v>3</v>
      </c>
      <c r="CZ32" s="317">
        <v>0</v>
      </c>
      <c r="DA32" s="305">
        <f t="shared" si="94"/>
        <v>8</v>
      </c>
      <c r="DB32" s="305">
        <f t="shared" si="70"/>
        <v>1</v>
      </c>
      <c r="DC32" s="320">
        <v>0</v>
      </c>
      <c r="DD32" s="307">
        <f t="shared" si="15"/>
        <v>8</v>
      </c>
      <c r="DE32" s="308">
        <f t="shared" si="71"/>
        <v>1</v>
      </c>
      <c r="DF32" s="308">
        <f>SUMIFS($D32:DE32,$D$6:DE$6,DF$12,$D$7:DE$7,DF$7,$D$5:DE$5,DF$5,$D$4:DE$4,"&lt;&gt;"&amp;DF$4)</f>
        <v>7</v>
      </c>
      <c r="DG32" s="308">
        <f t="shared" ref="DG32" si="171">RANK(DF32,DF$13:DF$42,0)</f>
        <v>5</v>
      </c>
      <c r="DH32" s="308">
        <f>SUMIFS($D32:DG32,$D$6:DG$6,DH$12,$D$7:DG$7,DH$7,$D$5:DG$5,DH$5,$D$4:DG$4,"&lt;&gt;"&amp;DH$4)</f>
        <v>8</v>
      </c>
      <c r="DI32" s="308">
        <f t="shared" ref="DI32" si="172">RANK(DH32,DH$13:DH$42,0)</f>
        <v>6</v>
      </c>
      <c r="DJ32" s="311" cm="1">
        <f t="array" aca="1" ref="DJ32" ca="1">ROUNDUP(SUMPRODUCT(--($D$7:$DI$7=DJ$7),$D32:$DI32,$D$3:$DI$3),3)</f>
        <v>7.4</v>
      </c>
      <c r="DK32" s="305">
        <v>4</v>
      </c>
      <c r="DL32" s="319" cm="1">
        <f t="array" aca="1" ref="DL32" ca="1">ROUNDUP(SUMPRODUCT(--($D$7:$DI$7=DL$7),$D32:$DI32,$D$3:$DI$3),3)</f>
        <v>7.6</v>
      </c>
      <c r="DM32" s="321">
        <f t="shared" ca="1" si="74"/>
        <v>4</v>
      </c>
      <c r="DN32" s="451">
        <f t="shared" ca="1" si="16"/>
        <v>0</v>
      </c>
      <c r="DO32" s="316" t="s">
        <v>11</v>
      </c>
      <c r="DP32" s="322" t="s">
        <v>86</v>
      </c>
      <c r="DQ32" s="633"/>
    </row>
    <row r="33" spans="2:121" s="445" customFormat="1" ht="15" customHeight="1">
      <c r="B33" s="323" t="s">
        <v>86</v>
      </c>
      <c r="C33" s="324" t="s">
        <v>39</v>
      </c>
      <c r="D33" s="325">
        <v>0</v>
      </c>
      <c r="E33" s="326">
        <f t="shared" si="85"/>
        <v>13</v>
      </c>
      <c r="F33" s="326">
        <f t="shared" si="18"/>
        <v>1</v>
      </c>
      <c r="G33" s="327">
        <v>0.5</v>
      </c>
      <c r="H33" s="328">
        <f t="shared" si="86"/>
        <v>14</v>
      </c>
      <c r="I33" s="389">
        <f t="shared" si="20"/>
        <v>1</v>
      </c>
      <c r="J33" s="325">
        <v>0</v>
      </c>
      <c r="K33" s="326">
        <f t="shared" si="87"/>
        <v>9</v>
      </c>
      <c r="L33" s="326">
        <f t="shared" si="22"/>
        <v>1</v>
      </c>
      <c r="M33" s="330">
        <v>0</v>
      </c>
      <c r="N33" s="328">
        <f t="shared" si="88"/>
        <v>13</v>
      </c>
      <c r="O33" s="329">
        <f t="shared" si="24"/>
        <v>1</v>
      </c>
      <c r="P33" s="325">
        <v>0</v>
      </c>
      <c r="Q33" s="326">
        <f t="shared" si="89"/>
        <v>6</v>
      </c>
      <c r="R33" s="326">
        <f t="shared" si="26"/>
        <v>1</v>
      </c>
      <c r="S33" s="330">
        <v>0</v>
      </c>
      <c r="T33" s="328">
        <f t="shared" si="8"/>
        <v>9</v>
      </c>
      <c r="U33" s="329">
        <f t="shared" si="9"/>
        <v>1</v>
      </c>
      <c r="V33" s="329">
        <f>SUMIFS($D33:U33,$D$6:U$6,V$12,$D$7:U$7,V$7,$D$5:U$5,V$5,$D$4:U$4,"&lt;&gt;"&amp;V$4)</f>
        <v>3</v>
      </c>
      <c r="W33" s="308">
        <f t="shared" si="27"/>
        <v>15</v>
      </c>
      <c r="X33" s="329">
        <f>SUMIFS($D33:W33,$D$6:W$6,X$12,$D$7:W$7,X$7,$D$5:W$5,X$5,$D$4:W$4,"&lt;&gt;"&amp;X$4)</f>
        <v>3</v>
      </c>
      <c r="Y33" s="308">
        <f t="shared" si="27"/>
        <v>15</v>
      </c>
      <c r="Z33" s="325">
        <v>0</v>
      </c>
      <c r="AA33" s="326">
        <f t="shared" si="90"/>
        <v>11</v>
      </c>
      <c r="AB33" s="326">
        <f t="shared" si="29"/>
        <v>1</v>
      </c>
      <c r="AC33" s="327">
        <v>0</v>
      </c>
      <c r="AD33" s="328">
        <f t="shared" si="30"/>
        <v>11</v>
      </c>
      <c r="AE33" s="329">
        <f t="shared" si="31"/>
        <v>1</v>
      </c>
      <c r="AF33" s="325">
        <v>0</v>
      </c>
      <c r="AG33" s="326">
        <f t="shared" si="10"/>
        <v>10</v>
      </c>
      <c r="AH33" s="326">
        <f t="shared" si="32"/>
        <v>1</v>
      </c>
      <c r="AI33" s="330">
        <v>0</v>
      </c>
      <c r="AJ33" s="328">
        <f t="shared" si="11"/>
        <v>10</v>
      </c>
      <c r="AK33" s="329">
        <f t="shared" si="33"/>
        <v>1</v>
      </c>
      <c r="AL33" s="325">
        <v>0</v>
      </c>
      <c r="AM33" s="326">
        <f t="shared" si="34"/>
        <v>9</v>
      </c>
      <c r="AN33" s="326">
        <f t="shared" si="35"/>
        <v>1</v>
      </c>
      <c r="AO33" s="449"/>
      <c r="AP33" s="449"/>
      <c r="AQ33" s="450"/>
      <c r="AR33" s="329">
        <f>SUMIFS($D33:AQ33,$D$6:AQ$6,AR$12,$D$7:AQ$7,AR$7,$D$5:AQ$5,AR$5,$D$4:AQ$4,"&lt;&gt;"&amp;AR$4)</f>
        <v>3</v>
      </c>
      <c r="AS33" s="308">
        <f t="shared" si="36"/>
        <v>14</v>
      </c>
      <c r="AT33" s="329">
        <f>SUMIFS($D33:AS33,$D$6:AS$6,AT$12,$D$7:AS$7,AT$7,$D$5:AS$5,AT$5,$D$4:AS$4,"&lt;&gt;"&amp;AT$4)</f>
        <v>2</v>
      </c>
      <c r="AU33" s="308">
        <f t="shared" si="36"/>
        <v>10</v>
      </c>
      <c r="AV33" s="325">
        <v>9200</v>
      </c>
      <c r="AW33" s="326">
        <f t="shared" si="37"/>
        <v>1</v>
      </c>
      <c r="AX33" s="326">
        <f t="shared" si="38"/>
        <v>5</v>
      </c>
      <c r="AY33" s="327">
        <v>9300</v>
      </c>
      <c r="AZ33" s="328">
        <f t="shared" si="39"/>
        <v>1</v>
      </c>
      <c r="BA33" s="329">
        <f t="shared" si="40"/>
        <v>5</v>
      </c>
      <c r="BB33" s="325">
        <v>195.7</v>
      </c>
      <c r="BC33" s="326">
        <f t="shared" si="41"/>
        <v>2</v>
      </c>
      <c r="BD33" s="326">
        <f t="shared" si="42"/>
        <v>5</v>
      </c>
      <c r="BE33" s="330">
        <v>220.92500000000001</v>
      </c>
      <c r="BF33" s="328">
        <f t="shared" si="43"/>
        <v>2</v>
      </c>
      <c r="BG33" s="329">
        <f t="shared" si="44"/>
        <v>4</v>
      </c>
      <c r="BH33" s="325">
        <v>231.22475</v>
      </c>
      <c r="BI33" s="326">
        <f t="shared" si="45"/>
        <v>2</v>
      </c>
      <c r="BJ33" s="326" cm="1">
        <f t="array" ref="BJ33">_xlfn.IFS(BH33&lt;BH$47, 1, BH33&lt;BH$48,2,BH33&lt;BH$49,3,BH33&lt;BH$50,4,BH33&gt;=BH$50,5)</f>
        <v>5</v>
      </c>
      <c r="BK33" s="331">
        <v>248.124</v>
      </c>
      <c r="BL33" s="328">
        <f t="shared" si="117"/>
        <v>2</v>
      </c>
      <c r="BM33" s="329">
        <f t="shared" si="47"/>
        <v>4</v>
      </c>
      <c r="BN33" s="329">
        <f>SUMIFS($D33:BM33,$D$6:BM$6,BN$12,$D$7:BM$7,BN$7,$D$5:BM$5,BN$5,$D$4:BM$4,"&lt;&gt;"&amp;BN$4)</f>
        <v>15</v>
      </c>
      <c r="BO33" s="308">
        <f t="shared" ref="BO33" si="173">RANK(BN33,BN$13:BN$42,0)</f>
        <v>1</v>
      </c>
      <c r="BP33" s="329">
        <f>SUMIFS($D33:BO33,$D$6:BO$6,BP$12,$D$7:BO$7,BP$7,$D$5:BO$5,BP$5,$D$4:BO$4,"&lt;&gt;"&amp;BP$4)</f>
        <v>13</v>
      </c>
      <c r="BQ33" s="308">
        <f t="shared" ref="BQ33" si="174">RANK(BP33,BP$13:BP$42,0)</f>
        <v>2</v>
      </c>
      <c r="BR33" s="325">
        <v>0</v>
      </c>
      <c r="BS33" s="326">
        <f t="shared" si="50"/>
        <v>7</v>
      </c>
      <c r="BT33" s="326">
        <f t="shared" si="51"/>
        <v>1</v>
      </c>
      <c r="BU33" s="327">
        <v>0</v>
      </c>
      <c r="BV33" s="328">
        <f t="shared" si="52"/>
        <v>10</v>
      </c>
      <c r="BW33" s="329">
        <f t="shared" si="53"/>
        <v>1</v>
      </c>
      <c r="BX33" s="325">
        <v>0</v>
      </c>
      <c r="BY33" s="326">
        <f t="shared" si="54"/>
        <v>10</v>
      </c>
      <c r="BZ33" s="326">
        <f t="shared" si="55"/>
        <v>1</v>
      </c>
      <c r="CA33" s="327">
        <v>0</v>
      </c>
      <c r="CB33" s="328">
        <f t="shared" si="56"/>
        <v>11</v>
      </c>
      <c r="CC33" s="329">
        <f t="shared" si="57"/>
        <v>1</v>
      </c>
      <c r="CD33" s="325">
        <v>0</v>
      </c>
      <c r="CE33" s="326">
        <f t="shared" si="58"/>
        <v>5</v>
      </c>
      <c r="CF33" s="326">
        <f t="shared" si="59"/>
        <v>1</v>
      </c>
      <c r="CG33" s="330">
        <v>0</v>
      </c>
      <c r="CH33" s="328">
        <f t="shared" si="60"/>
        <v>5</v>
      </c>
      <c r="CI33" s="329">
        <f t="shared" si="61"/>
        <v>1</v>
      </c>
      <c r="CJ33" s="329">
        <f>SUMIFS($D33:CI33,$D$6:CI$6,CJ$12,$D$7:CI$7,CJ$7,$D$5:CI$5,CJ$5,$D$4:CI$4,"&lt;&gt;"&amp;CJ$4)</f>
        <v>3</v>
      </c>
      <c r="CK33" s="308">
        <f t="shared" ref="CK33" si="175">RANK(CJ33,CJ$13:CJ$42,0)</f>
        <v>12</v>
      </c>
      <c r="CL33" s="329">
        <f>SUMIFS($D33:CK33,$D$6:CK$6,CL$12,$D$7:CK$7,CL$7,$D$5:CK$5,CL$5,$D$4:CK$4,"&lt;&gt;"&amp;CL$4)</f>
        <v>3</v>
      </c>
      <c r="CM33" s="308">
        <f t="shared" si="63"/>
        <v>16</v>
      </c>
      <c r="CN33" s="325">
        <v>0</v>
      </c>
      <c r="CO33" s="326">
        <f t="shared" si="64"/>
        <v>8</v>
      </c>
      <c r="CP33" s="326">
        <f t="shared" si="65"/>
        <v>1</v>
      </c>
      <c r="CQ33" s="327">
        <v>0</v>
      </c>
      <c r="CR33" s="328">
        <f t="shared" si="66"/>
        <v>11</v>
      </c>
      <c r="CS33" s="329">
        <f t="shared" si="67"/>
        <v>1</v>
      </c>
      <c r="CT33" s="325">
        <v>0</v>
      </c>
      <c r="CU33" s="326">
        <f t="shared" si="12"/>
        <v>12</v>
      </c>
      <c r="CV33" s="326">
        <f t="shared" si="68"/>
        <v>1</v>
      </c>
      <c r="CW33" s="330">
        <v>0</v>
      </c>
      <c r="CX33" s="328">
        <f t="shared" si="13"/>
        <v>13</v>
      </c>
      <c r="CY33" s="329">
        <f t="shared" si="69"/>
        <v>1</v>
      </c>
      <c r="CZ33" s="325">
        <v>0</v>
      </c>
      <c r="DA33" s="326">
        <f t="shared" si="94"/>
        <v>8</v>
      </c>
      <c r="DB33" s="326">
        <f t="shared" si="70"/>
        <v>1</v>
      </c>
      <c r="DC33" s="330">
        <v>0</v>
      </c>
      <c r="DD33" s="328">
        <f t="shared" si="15"/>
        <v>8</v>
      </c>
      <c r="DE33" s="329">
        <f t="shared" si="71"/>
        <v>1</v>
      </c>
      <c r="DF33" s="329">
        <f>SUMIFS($D33:DE33,$D$6:DE$6,DF$12,$D$7:DE$7,DF$7,$D$5:DE$5,DF$5,$D$4:DE$4,"&lt;&gt;"&amp;DF$4)</f>
        <v>3</v>
      </c>
      <c r="DG33" s="308">
        <f t="shared" ref="DG33" si="176">RANK(DF33,DF$13:DF$42,0)</f>
        <v>13</v>
      </c>
      <c r="DH33" s="329">
        <f>SUMIFS($D33:DG33,$D$6:DG$6,DH$12,$D$7:DG$7,DH$7,$D$5:DG$5,DH$5,$D$4:DG$4,"&lt;&gt;"&amp;DH$4)</f>
        <v>3</v>
      </c>
      <c r="DI33" s="308">
        <f t="shared" ref="DI33" si="177">RANK(DH33,DH$13:DH$42,0)</f>
        <v>14</v>
      </c>
      <c r="DJ33" s="332" cm="1">
        <f t="array" aca="1" ref="DJ33" ca="1">ROUNDUP(SUMPRODUCT(--($D$7:$DI$7=DJ$7),$D33:$DI33,$D$3:$DI$3),3)</f>
        <v>5.4</v>
      </c>
      <c r="DK33" s="326">
        <v>7</v>
      </c>
      <c r="DL33" s="331" cm="1">
        <f t="array" aca="1" ref="DL33" ca="1">ROUNDUP(SUMPRODUCT(--($D$7:$DI$7=DL$7),$D33:$DI33,$D$3:$DI$3),3)</f>
        <v>4.8</v>
      </c>
      <c r="DM33" s="333">
        <f t="shared" ca="1" si="74"/>
        <v>11</v>
      </c>
      <c r="DN33" s="451">
        <f t="shared" ca="1" si="16"/>
        <v>-4</v>
      </c>
      <c r="DO33" s="324" t="s">
        <v>39</v>
      </c>
      <c r="DP33" s="334" t="s">
        <v>86</v>
      </c>
      <c r="DQ33" s="633"/>
    </row>
    <row r="34" spans="2:121" s="445" customFormat="1" ht="15" customHeight="1">
      <c r="B34" s="314" t="s">
        <v>89</v>
      </c>
      <c r="C34" s="343" t="s">
        <v>6</v>
      </c>
      <c r="D34" s="303">
        <v>80</v>
      </c>
      <c r="E34" s="304">
        <f t="shared" si="85"/>
        <v>7</v>
      </c>
      <c r="F34" s="304">
        <f t="shared" si="18"/>
        <v>3</v>
      </c>
      <c r="G34" s="306">
        <v>140</v>
      </c>
      <c r="H34" s="312">
        <f t="shared" si="86"/>
        <v>6</v>
      </c>
      <c r="I34" s="383">
        <f t="shared" si="20"/>
        <v>4</v>
      </c>
      <c r="J34" s="303">
        <v>0</v>
      </c>
      <c r="K34" s="304">
        <f t="shared" si="87"/>
        <v>9</v>
      </c>
      <c r="L34" s="304">
        <f t="shared" si="22"/>
        <v>1</v>
      </c>
      <c r="M34" s="310">
        <v>0</v>
      </c>
      <c r="N34" s="312">
        <f t="shared" si="88"/>
        <v>13</v>
      </c>
      <c r="O34" s="312">
        <f t="shared" si="24"/>
        <v>1</v>
      </c>
      <c r="P34" s="303">
        <v>117.77500000250002</v>
      </c>
      <c r="Q34" s="304">
        <f t="shared" si="89"/>
        <v>1</v>
      </c>
      <c r="R34" s="304">
        <f t="shared" si="26"/>
        <v>5</v>
      </c>
      <c r="S34" s="310">
        <v>547.29999999999995</v>
      </c>
      <c r="T34" s="312">
        <f t="shared" si="8"/>
        <v>1</v>
      </c>
      <c r="U34" s="312">
        <f t="shared" si="9"/>
        <v>5</v>
      </c>
      <c r="V34" s="312">
        <f>SUMIFS($D34:U34,$D$6:U$6,V$12,$D$7:U$7,V$7,$D$5:U$5,V$5,$D$4:U$4,"&lt;&gt;"&amp;V$4)</f>
        <v>9</v>
      </c>
      <c r="W34" s="308">
        <f t="shared" si="27"/>
        <v>5</v>
      </c>
      <c r="X34" s="312">
        <f>SUMIFS($D34:W34,$D$6:W$6,X$12,$D$7:W$7,X$7,$D$5:W$5,X$5,$D$4:W$4,"&lt;&gt;"&amp;X$4)</f>
        <v>10</v>
      </c>
      <c r="Y34" s="308">
        <f t="shared" si="27"/>
        <v>6</v>
      </c>
      <c r="Z34" s="303">
        <v>73000</v>
      </c>
      <c r="AA34" s="304">
        <f t="shared" si="90"/>
        <v>2</v>
      </c>
      <c r="AB34" s="304">
        <f t="shared" si="29"/>
        <v>5</v>
      </c>
      <c r="AC34" s="306">
        <v>52000</v>
      </c>
      <c r="AD34" s="312">
        <f t="shared" si="30"/>
        <v>2</v>
      </c>
      <c r="AE34" s="312">
        <f t="shared" si="31"/>
        <v>5</v>
      </c>
      <c r="AF34" s="303">
        <v>820</v>
      </c>
      <c r="AG34" s="304">
        <f t="shared" si="10"/>
        <v>1</v>
      </c>
      <c r="AH34" s="304">
        <f t="shared" si="32"/>
        <v>5</v>
      </c>
      <c r="AI34" s="310">
        <v>850</v>
      </c>
      <c r="AJ34" s="312">
        <f t="shared" si="11"/>
        <v>1</v>
      </c>
      <c r="AK34" s="312">
        <f t="shared" si="33"/>
        <v>5</v>
      </c>
      <c r="AL34" s="303">
        <v>820.33</v>
      </c>
      <c r="AM34" s="304">
        <f t="shared" si="34"/>
        <v>1</v>
      </c>
      <c r="AN34" s="304">
        <f t="shared" si="35"/>
        <v>5</v>
      </c>
      <c r="AO34" s="449"/>
      <c r="AP34" s="449"/>
      <c r="AQ34" s="450"/>
      <c r="AR34" s="312">
        <f>SUMIFS($D34:AQ34,$D$6:AQ$6,AR$12,$D$7:AQ$7,AR$7,$D$5:AQ$5,AR$5,$D$4:AQ$4,"&lt;&gt;"&amp;AR$4)</f>
        <v>15</v>
      </c>
      <c r="AS34" s="308">
        <f t="shared" si="36"/>
        <v>1</v>
      </c>
      <c r="AT34" s="312">
        <f>SUMIFS($D34:AS34,$D$6:AS$6,AT$12,$D$7:AS$7,AT$7,$D$5:AS$5,AT$5,$D$4:AS$4,"&lt;&gt;"&amp;AT$4)</f>
        <v>10</v>
      </c>
      <c r="AU34" s="308">
        <f t="shared" si="36"/>
        <v>1</v>
      </c>
      <c r="AV34" s="303">
        <v>1500</v>
      </c>
      <c r="AW34" s="304">
        <f t="shared" si="37"/>
        <v>4</v>
      </c>
      <c r="AX34" s="304">
        <f t="shared" si="38"/>
        <v>4</v>
      </c>
      <c r="AY34" s="306">
        <v>2000</v>
      </c>
      <c r="AZ34" s="312">
        <f t="shared" si="39"/>
        <v>4</v>
      </c>
      <c r="BA34" s="312">
        <f t="shared" si="40"/>
        <v>4</v>
      </c>
      <c r="BB34" s="303">
        <v>126.03254576237499</v>
      </c>
      <c r="BC34" s="304">
        <f t="shared" si="41"/>
        <v>3</v>
      </c>
      <c r="BD34" s="304">
        <f t="shared" si="42"/>
        <v>5</v>
      </c>
      <c r="BE34" s="310">
        <v>161.488</v>
      </c>
      <c r="BF34" s="312">
        <f t="shared" si="43"/>
        <v>3</v>
      </c>
      <c r="BG34" s="312">
        <f t="shared" si="44"/>
        <v>4</v>
      </c>
      <c r="BH34" s="303">
        <v>812.7628825531915</v>
      </c>
      <c r="BI34" s="304">
        <f t="shared" si="45"/>
        <v>1</v>
      </c>
      <c r="BJ34" s="304" cm="1">
        <f t="array" ref="BJ34">_xlfn.IFS(BH34&lt;BH$47, 1, BH34&lt;BH$48,2,BH34&lt;BH$49,3,BH34&lt;BH$50,4,BH34&gt;=BH$50,5)</f>
        <v>5</v>
      </c>
      <c r="BK34" s="309">
        <v>807.12199999999996</v>
      </c>
      <c r="BL34" s="312">
        <f t="shared" si="117"/>
        <v>1</v>
      </c>
      <c r="BM34" s="312">
        <f t="shared" si="47"/>
        <v>5</v>
      </c>
      <c r="BN34" s="312">
        <f>SUMIFS($D34:BM34,$D$6:BM$6,BN$12,$D$7:BM$7,BN$7,$D$5:BM$5,BN$5,$D$4:BM$4,"&lt;&gt;"&amp;BN$4)</f>
        <v>14</v>
      </c>
      <c r="BO34" s="308">
        <f t="shared" ref="BO34" si="178">RANK(BN34,BN$13:BN$42,0)</f>
        <v>2</v>
      </c>
      <c r="BP34" s="312">
        <f>SUMIFS($D34:BO34,$D$6:BO$6,BP$12,$D$7:BO$7,BP$7,$D$5:BO$5,BP$5,$D$4:BO$4,"&lt;&gt;"&amp;BP$4)</f>
        <v>13</v>
      </c>
      <c r="BQ34" s="308">
        <f t="shared" ref="BQ34" si="179">RANK(BP34,BP$13:BP$42,0)</f>
        <v>2</v>
      </c>
      <c r="BR34" s="303">
        <v>54000</v>
      </c>
      <c r="BS34" s="304">
        <f t="shared" si="50"/>
        <v>4</v>
      </c>
      <c r="BT34" s="304">
        <f t="shared" si="51"/>
        <v>3</v>
      </c>
      <c r="BU34" s="306">
        <v>280000</v>
      </c>
      <c r="BV34" s="312">
        <f t="shared" si="52"/>
        <v>2</v>
      </c>
      <c r="BW34" s="312">
        <f t="shared" si="53"/>
        <v>5</v>
      </c>
      <c r="BX34" s="303">
        <v>2488.7905000000001</v>
      </c>
      <c r="BY34" s="304">
        <f t="shared" si="54"/>
        <v>3</v>
      </c>
      <c r="BZ34" s="304">
        <f t="shared" si="55"/>
        <v>4</v>
      </c>
      <c r="CA34" s="306">
        <v>2489</v>
      </c>
      <c r="CB34" s="312">
        <f t="shared" si="56"/>
        <v>3</v>
      </c>
      <c r="CC34" s="312">
        <f t="shared" si="57"/>
        <v>4</v>
      </c>
      <c r="CD34" s="303">
        <v>84.32</v>
      </c>
      <c r="CE34" s="304">
        <f t="shared" si="58"/>
        <v>1</v>
      </c>
      <c r="CF34" s="304">
        <f t="shared" si="59"/>
        <v>5</v>
      </c>
      <c r="CG34" s="310">
        <v>106.72</v>
      </c>
      <c r="CH34" s="312">
        <f t="shared" si="60"/>
        <v>1</v>
      </c>
      <c r="CI34" s="312">
        <f t="shared" si="61"/>
        <v>5</v>
      </c>
      <c r="CJ34" s="312">
        <f>SUMIFS($D34:CI34,$D$6:CI$6,CJ$12,$D$7:CI$7,CJ$7,$D$5:CI$5,CJ$5,$D$4:CI$4,"&lt;&gt;"&amp;CJ$4)</f>
        <v>12</v>
      </c>
      <c r="CK34" s="308">
        <f t="shared" ref="CK34" si="180">RANK(CJ34,CJ$13:CJ$42,0)</f>
        <v>1</v>
      </c>
      <c r="CL34" s="312">
        <f>SUMIFS($D34:CK34,$D$6:CK$6,CL$12,$D$7:CK$7,CL$7,$D$5:CK$5,CL$5,$D$4:CK$4,"&lt;&gt;"&amp;CL$4)</f>
        <v>14</v>
      </c>
      <c r="CM34" s="308">
        <f t="shared" si="63"/>
        <v>1</v>
      </c>
      <c r="CN34" s="303">
        <v>2800</v>
      </c>
      <c r="CO34" s="304">
        <f t="shared" si="64"/>
        <v>5</v>
      </c>
      <c r="CP34" s="304">
        <f t="shared" si="65"/>
        <v>3</v>
      </c>
      <c r="CQ34" s="306">
        <v>2100</v>
      </c>
      <c r="CR34" s="312">
        <f t="shared" si="66"/>
        <v>8</v>
      </c>
      <c r="CS34" s="312">
        <f t="shared" si="67"/>
        <v>2</v>
      </c>
      <c r="CT34" s="303">
        <v>165.85918626368999</v>
      </c>
      <c r="CU34" s="304">
        <f t="shared" si="12"/>
        <v>1</v>
      </c>
      <c r="CV34" s="304">
        <f t="shared" si="68"/>
        <v>5</v>
      </c>
      <c r="CW34" s="310">
        <v>301.52999999999997</v>
      </c>
      <c r="CX34" s="312">
        <f t="shared" si="13"/>
        <v>1</v>
      </c>
      <c r="CY34" s="312">
        <f t="shared" si="69"/>
        <v>5</v>
      </c>
      <c r="CZ34" s="303">
        <v>218.02199999999999</v>
      </c>
      <c r="DA34" s="304">
        <f t="shared" si="94"/>
        <v>1</v>
      </c>
      <c r="DB34" s="304">
        <f t="shared" si="70"/>
        <v>5</v>
      </c>
      <c r="DC34" s="310">
        <v>515.38</v>
      </c>
      <c r="DD34" s="312">
        <f t="shared" si="15"/>
        <v>1</v>
      </c>
      <c r="DE34" s="312">
        <f t="shared" si="71"/>
        <v>5</v>
      </c>
      <c r="DF34" s="312">
        <f>SUMIFS($D34:DE34,$D$6:DE$6,DF$12,$D$7:DE$7,DF$7,$D$5:DE$5,DF$5,$D$4:DE$4,"&lt;&gt;"&amp;DF$4)</f>
        <v>13</v>
      </c>
      <c r="DG34" s="308">
        <f t="shared" ref="DG34" si="181">RANK(DF34,DF$13:DF$42,0)</f>
        <v>1</v>
      </c>
      <c r="DH34" s="312">
        <f>SUMIFS($D34:DG34,$D$6:DG$6,DH$12,$D$7:DG$7,DH$7,$D$5:DG$5,DH$5,$D$4:DG$4,"&lt;&gt;"&amp;DH$4)</f>
        <v>12</v>
      </c>
      <c r="DI34" s="308">
        <f t="shared" ref="DI34" si="182">RANK(DH34,DH$13:DH$42,0)</f>
        <v>3</v>
      </c>
      <c r="DJ34" s="311" cm="1">
        <f t="array" aca="1" ref="DJ34" ca="1">ROUNDUP(SUMPRODUCT(--($D$7:$DI$7=DJ$7),$D34:$DI34,$D$3:$DI$3),3)</f>
        <v>12.6</v>
      </c>
      <c r="DK34" s="305">
        <v>1</v>
      </c>
      <c r="DL34" s="309" cm="1">
        <f t="array" aca="1" ref="DL34" ca="1">ROUNDUP(SUMPRODUCT(--($D$7:$DI$7=DL$7),$D34:$DI34,$D$3:$DI$3),3)</f>
        <v>11.8</v>
      </c>
      <c r="DM34" s="313">
        <f t="shared" ca="1" si="74"/>
        <v>1</v>
      </c>
      <c r="DN34" s="451">
        <f t="shared" ca="1" si="16"/>
        <v>0</v>
      </c>
      <c r="DO34" s="343" t="s">
        <v>6</v>
      </c>
      <c r="DP34" s="314" t="s">
        <v>89</v>
      </c>
      <c r="DQ34" s="633"/>
    </row>
    <row r="35" spans="2:121" s="445" customFormat="1" ht="15" customHeight="1">
      <c r="B35" s="322" t="s">
        <v>89</v>
      </c>
      <c r="C35" s="344" t="s">
        <v>8</v>
      </c>
      <c r="D35" s="317">
        <v>0</v>
      </c>
      <c r="E35" s="305">
        <f t="shared" si="85"/>
        <v>13</v>
      </c>
      <c r="F35" s="305">
        <f t="shared" si="18"/>
        <v>1</v>
      </c>
      <c r="G35" s="318">
        <v>0</v>
      </c>
      <c r="H35" s="307">
        <f t="shared" si="86"/>
        <v>15</v>
      </c>
      <c r="I35" s="386">
        <f t="shared" si="20"/>
        <v>1</v>
      </c>
      <c r="J35" s="317">
        <v>0</v>
      </c>
      <c r="K35" s="305">
        <f t="shared" si="87"/>
        <v>9</v>
      </c>
      <c r="L35" s="305">
        <f t="shared" si="22"/>
        <v>1</v>
      </c>
      <c r="M35" s="320">
        <v>0</v>
      </c>
      <c r="N35" s="307">
        <f t="shared" si="88"/>
        <v>13</v>
      </c>
      <c r="O35" s="308">
        <f t="shared" si="24"/>
        <v>1</v>
      </c>
      <c r="P35" s="317">
        <v>0</v>
      </c>
      <c r="Q35" s="305">
        <f t="shared" si="89"/>
        <v>6</v>
      </c>
      <c r="R35" s="305">
        <f t="shared" si="26"/>
        <v>1</v>
      </c>
      <c r="S35" s="320">
        <v>0</v>
      </c>
      <c r="T35" s="307">
        <f t="shared" si="8"/>
        <v>9</v>
      </c>
      <c r="U35" s="308">
        <f t="shared" si="9"/>
        <v>1</v>
      </c>
      <c r="V35" s="308">
        <f>SUMIFS($D35:U35,$D$6:U$6,V$12,$D$7:U$7,V$7,$D$5:U$5,V$5,$D$4:U$4,"&lt;&gt;"&amp;V$4)</f>
        <v>3</v>
      </c>
      <c r="W35" s="308">
        <f t="shared" si="27"/>
        <v>15</v>
      </c>
      <c r="X35" s="308">
        <f>SUMIFS($D35:W35,$D$6:W$6,X$12,$D$7:W$7,X$7,$D$5:W$5,X$5,$D$4:W$4,"&lt;&gt;"&amp;X$4)</f>
        <v>3</v>
      </c>
      <c r="Y35" s="308">
        <f t="shared" si="27"/>
        <v>15</v>
      </c>
      <c r="Z35" s="317">
        <v>0</v>
      </c>
      <c r="AA35" s="305">
        <f t="shared" si="90"/>
        <v>11</v>
      </c>
      <c r="AB35" s="305">
        <f t="shared" si="29"/>
        <v>1</v>
      </c>
      <c r="AC35" s="318">
        <v>0</v>
      </c>
      <c r="AD35" s="307">
        <f t="shared" si="30"/>
        <v>11</v>
      </c>
      <c r="AE35" s="308">
        <f t="shared" si="31"/>
        <v>1</v>
      </c>
      <c r="AF35" s="317">
        <v>0</v>
      </c>
      <c r="AG35" s="305">
        <f t="shared" si="10"/>
        <v>10</v>
      </c>
      <c r="AH35" s="305">
        <f t="shared" si="32"/>
        <v>1</v>
      </c>
      <c r="AI35" s="320">
        <v>0</v>
      </c>
      <c r="AJ35" s="307">
        <f t="shared" si="11"/>
        <v>10</v>
      </c>
      <c r="AK35" s="308">
        <f t="shared" si="33"/>
        <v>1</v>
      </c>
      <c r="AL35" s="317">
        <v>57.8</v>
      </c>
      <c r="AM35" s="305">
        <f t="shared" si="34"/>
        <v>3</v>
      </c>
      <c r="AN35" s="305">
        <f t="shared" si="35"/>
        <v>4</v>
      </c>
      <c r="AO35" s="449"/>
      <c r="AP35" s="449"/>
      <c r="AQ35" s="450"/>
      <c r="AR35" s="308">
        <f>SUMIFS($D35:AQ35,$D$6:AQ$6,AR$12,$D$7:AQ$7,AR$7,$D$5:AQ$5,AR$5,$D$4:AQ$4,"&lt;&gt;"&amp;AR$4)</f>
        <v>6</v>
      </c>
      <c r="AS35" s="308">
        <f t="shared" si="36"/>
        <v>7</v>
      </c>
      <c r="AT35" s="308">
        <f>SUMIFS($D35:AS35,$D$6:AS$6,AT$12,$D$7:AS$7,AT$7,$D$5:AS$5,AT$5,$D$4:AS$4,"&lt;&gt;"&amp;AT$4)</f>
        <v>2</v>
      </c>
      <c r="AU35" s="308">
        <f t="shared" si="36"/>
        <v>10</v>
      </c>
      <c r="AV35" s="317">
        <v>0</v>
      </c>
      <c r="AW35" s="305">
        <f t="shared" si="37"/>
        <v>13</v>
      </c>
      <c r="AX35" s="305">
        <f t="shared" si="38"/>
        <v>1</v>
      </c>
      <c r="AY35" s="318">
        <v>0</v>
      </c>
      <c r="AZ35" s="307">
        <f t="shared" si="39"/>
        <v>14</v>
      </c>
      <c r="BA35" s="308">
        <f t="shared" si="40"/>
        <v>1</v>
      </c>
      <c r="BB35" s="317">
        <v>0</v>
      </c>
      <c r="BC35" s="305">
        <f t="shared" si="41"/>
        <v>8</v>
      </c>
      <c r="BD35" s="305">
        <f t="shared" si="42"/>
        <v>1</v>
      </c>
      <c r="BE35" s="320">
        <v>0</v>
      </c>
      <c r="BF35" s="307">
        <f t="shared" si="43"/>
        <v>8</v>
      </c>
      <c r="BG35" s="308">
        <f t="shared" si="44"/>
        <v>1</v>
      </c>
      <c r="BH35" s="317">
        <v>8</v>
      </c>
      <c r="BI35" s="305">
        <f t="shared" si="45"/>
        <v>6</v>
      </c>
      <c r="BJ35" s="305" cm="1">
        <f t="array" ref="BJ35">_xlfn.IFS(BH35&lt;BH$47, 1, BH35&lt;BH$48,2,BH35&lt;BH$49,3,BH35&lt;BH$50,4,BH35&gt;=BH$50,5)</f>
        <v>3</v>
      </c>
      <c r="BK35" s="319">
        <v>0</v>
      </c>
      <c r="BL35" s="307">
        <f t="shared" si="117"/>
        <v>7</v>
      </c>
      <c r="BM35" s="308">
        <f t="shared" si="47"/>
        <v>1</v>
      </c>
      <c r="BN35" s="308">
        <f>SUMIFS($D35:BM35,$D$6:BM$6,BN$12,$D$7:BM$7,BN$7,$D$5:BM$5,BN$5,$D$4:BM$4,"&lt;&gt;"&amp;BN$4)</f>
        <v>5</v>
      </c>
      <c r="BO35" s="308">
        <f t="shared" ref="BO35" si="183">RANK(BN35,BN$13:BN$42,0)</f>
        <v>8</v>
      </c>
      <c r="BP35" s="308">
        <f>SUMIFS($D35:BO35,$D$6:BO$6,BP$12,$D$7:BO$7,BP$7,$D$5:BO$5,BP$5,$D$4:BO$4,"&lt;&gt;"&amp;BP$4)</f>
        <v>3</v>
      </c>
      <c r="BQ35" s="308">
        <f t="shared" ref="BQ35" si="184">RANK(BP35,BP$13:BP$42,0)</f>
        <v>13</v>
      </c>
      <c r="BR35" s="317">
        <v>0</v>
      </c>
      <c r="BS35" s="305">
        <f t="shared" si="50"/>
        <v>7</v>
      </c>
      <c r="BT35" s="305">
        <f t="shared" si="51"/>
        <v>1</v>
      </c>
      <c r="BU35" s="318">
        <v>0</v>
      </c>
      <c r="BV35" s="307">
        <f t="shared" si="52"/>
        <v>10</v>
      </c>
      <c r="BW35" s="308">
        <f t="shared" si="53"/>
        <v>1</v>
      </c>
      <c r="BX35" s="317">
        <v>0</v>
      </c>
      <c r="BY35" s="305">
        <f t="shared" si="54"/>
        <v>10</v>
      </c>
      <c r="BZ35" s="305">
        <f t="shared" si="55"/>
        <v>1</v>
      </c>
      <c r="CA35" s="318">
        <v>0</v>
      </c>
      <c r="CB35" s="307">
        <f t="shared" si="56"/>
        <v>11</v>
      </c>
      <c r="CC35" s="308">
        <f t="shared" si="57"/>
        <v>1</v>
      </c>
      <c r="CD35" s="317">
        <v>0.32</v>
      </c>
      <c r="CE35" s="305">
        <f t="shared" si="58"/>
        <v>4</v>
      </c>
      <c r="CF35" s="305">
        <f t="shared" si="59"/>
        <v>2</v>
      </c>
      <c r="CG35" s="320">
        <v>0.32</v>
      </c>
      <c r="CH35" s="307">
        <f t="shared" si="60"/>
        <v>4</v>
      </c>
      <c r="CI35" s="308">
        <f t="shared" si="61"/>
        <v>2</v>
      </c>
      <c r="CJ35" s="308">
        <f>SUMIFS($D35:CI35,$D$6:CI$6,CJ$12,$D$7:CI$7,CJ$7,$D$5:CI$5,CJ$5,$D$4:CI$4,"&lt;&gt;"&amp;CJ$4)</f>
        <v>4</v>
      </c>
      <c r="CK35" s="308">
        <f t="shared" ref="CK35" si="185">RANK(CJ35,CJ$13:CJ$42,0)</f>
        <v>10</v>
      </c>
      <c r="CL35" s="308">
        <f>SUMIFS($D35:CK35,$D$6:CK$6,CL$12,$D$7:CK$7,CL$7,$D$5:CK$5,CL$5,$D$4:CK$4,"&lt;&gt;"&amp;CL$4)</f>
        <v>4</v>
      </c>
      <c r="CM35" s="308">
        <f t="shared" si="63"/>
        <v>11</v>
      </c>
      <c r="CN35" s="317">
        <v>0</v>
      </c>
      <c r="CO35" s="305">
        <f t="shared" si="64"/>
        <v>8</v>
      </c>
      <c r="CP35" s="305">
        <f t="shared" si="65"/>
        <v>1</v>
      </c>
      <c r="CQ35" s="318">
        <v>0</v>
      </c>
      <c r="CR35" s="307">
        <f t="shared" si="66"/>
        <v>11</v>
      </c>
      <c r="CS35" s="308">
        <f t="shared" si="67"/>
        <v>1</v>
      </c>
      <c r="CT35" s="317">
        <v>0</v>
      </c>
      <c r="CU35" s="305">
        <f t="shared" si="12"/>
        <v>12</v>
      </c>
      <c r="CV35" s="305">
        <f t="shared" si="68"/>
        <v>1</v>
      </c>
      <c r="CW35" s="320">
        <v>0</v>
      </c>
      <c r="CX35" s="307">
        <f t="shared" si="13"/>
        <v>13</v>
      </c>
      <c r="CY35" s="308">
        <f t="shared" si="69"/>
        <v>1</v>
      </c>
      <c r="CZ35" s="317">
        <v>82</v>
      </c>
      <c r="DA35" s="305">
        <f t="shared" si="94"/>
        <v>2</v>
      </c>
      <c r="DB35" s="305">
        <f t="shared" si="70"/>
        <v>4</v>
      </c>
      <c r="DC35" s="320">
        <v>11</v>
      </c>
      <c r="DD35" s="307">
        <f t="shared" si="15"/>
        <v>6</v>
      </c>
      <c r="DE35" s="308">
        <f t="shared" si="71"/>
        <v>2</v>
      </c>
      <c r="DF35" s="308">
        <f>SUMIFS($D35:DE35,$D$6:DE$6,DF$12,$D$7:DE$7,DF$7,$D$5:DE$5,DF$5,$D$4:DE$4,"&lt;&gt;"&amp;DF$4)</f>
        <v>6</v>
      </c>
      <c r="DG35" s="308">
        <f t="shared" ref="DG35" si="186">RANK(DF35,DF$13:DF$42,0)</f>
        <v>8</v>
      </c>
      <c r="DH35" s="308">
        <f>SUMIFS($D35:DG35,$D$6:DG$6,DH$12,$D$7:DG$7,DH$7,$D$5:DG$5,DH$5,$D$4:DG$4,"&lt;&gt;"&amp;DH$4)</f>
        <v>4</v>
      </c>
      <c r="DI35" s="308">
        <f t="shared" ref="DI35" si="187">RANK(DH35,DH$13:DH$42,0)</f>
        <v>11</v>
      </c>
      <c r="DJ35" s="311" cm="1">
        <f t="array" aca="1" ref="DJ35" ca="1">ROUNDUP(SUMPRODUCT(--($D$7:$DI$7=DJ$7),$D35:$DI35,$D$3:$DI$3),3)</f>
        <v>4.8</v>
      </c>
      <c r="DK35" s="305">
        <v>13</v>
      </c>
      <c r="DL35" s="319" cm="1">
        <f t="array" aca="1" ref="DL35" ca="1">ROUNDUP(SUMPRODUCT(--($D$7:$DI$7=DL$7),$D35:$DI35,$D$3:$DI$3),3)</f>
        <v>3.2</v>
      </c>
      <c r="DM35" s="321">
        <f t="shared" ca="1" si="74"/>
        <v>20</v>
      </c>
      <c r="DN35" s="451">
        <f t="shared" ca="1" si="16"/>
        <v>-7</v>
      </c>
      <c r="DO35" s="344" t="s">
        <v>8</v>
      </c>
      <c r="DP35" s="322" t="s">
        <v>89</v>
      </c>
      <c r="DQ35" s="633"/>
    </row>
    <row r="36" spans="2:121" s="445" customFormat="1" ht="15" customHeight="1">
      <c r="B36" s="334" t="s">
        <v>89</v>
      </c>
      <c r="C36" s="345" t="s">
        <v>14</v>
      </c>
      <c r="D36" s="325">
        <v>0</v>
      </c>
      <c r="E36" s="326">
        <f t="shared" si="85"/>
        <v>13</v>
      </c>
      <c r="F36" s="326">
        <f t="shared" si="18"/>
        <v>1</v>
      </c>
      <c r="G36" s="327">
        <v>0</v>
      </c>
      <c r="H36" s="328">
        <f t="shared" si="86"/>
        <v>15</v>
      </c>
      <c r="I36" s="389">
        <f t="shared" si="20"/>
        <v>1</v>
      </c>
      <c r="J36" s="325">
        <v>0</v>
      </c>
      <c r="K36" s="326">
        <f t="shared" si="87"/>
        <v>9</v>
      </c>
      <c r="L36" s="326">
        <f t="shared" si="22"/>
        <v>1</v>
      </c>
      <c r="M36" s="330">
        <v>0</v>
      </c>
      <c r="N36" s="328">
        <f t="shared" si="88"/>
        <v>13</v>
      </c>
      <c r="O36" s="329">
        <f t="shared" si="24"/>
        <v>1</v>
      </c>
      <c r="P36" s="325">
        <v>0</v>
      </c>
      <c r="Q36" s="326">
        <f t="shared" si="89"/>
        <v>6</v>
      </c>
      <c r="R36" s="326">
        <f t="shared" si="26"/>
        <v>1</v>
      </c>
      <c r="S36" s="330">
        <v>0</v>
      </c>
      <c r="T36" s="328">
        <f t="shared" si="8"/>
        <v>9</v>
      </c>
      <c r="U36" s="329">
        <f t="shared" si="9"/>
        <v>1</v>
      </c>
      <c r="V36" s="329">
        <f>SUMIFS($D36:U36,$D$6:U$6,V$12,$D$7:U$7,V$7,$D$5:U$5,V$5,$D$4:U$4,"&lt;&gt;"&amp;V$4)</f>
        <v>3</v>
      </c>
      <c r="W36" s="308">
        <f t="shared" si="27"/>
        <v>15</v>
      </c>
      <c r="X36" s="329">
        <f>SUMIFS($D36:W36,$D$6:W$6,X$12,$D$7:W$7,X$7,$D$5:W$5,X$5,$D$4:W$4,"&lt;&gt;"&amp;X$4)</f>
        <v>3</v>
      </c>
      <c r="Y36" s="308">
        <f t="shared" si="27"/>
        <v>15</v>
      </c>
      <c r="Z36" s="325">
        <v>0</v>
      </c>
      <c r="AA36" s="326">
        <f t="shared" si="90"/>
        <v>11</v>
      </c>
      <c r="AB36" s="326">
        <f t="shared" si="29"/>
        <v>1</v>
      </c>
      <c r="AC36" s="327">
        <v>1800</v>
      </c>
      <c r="AD36" s="328">
        <f t="shared" si="30"/>
        <v>5</v>
      </c>
      <c r="AE36" s="329">
        <f t="shared" si="31"/>
        <v>3</v>
      </c>
      <c r="AF36" s="325">
        <v>0</v>
      </c>
      <c r="AG36" s="326">
        <f t="shared" si="10"/>
        <v>10</v>
      </c>
      <c r="AH36" s="326">
        <f t="shared" si="32"/>
        <v>1</v>
      </c>
      <c r="AI36" s="330">
        <v>17</v>
      </c>
      <c r="AJ36" s="328">
        <f t="shared" si="11"/>
        <v>3</v>
      </c>
      <c r="AK36" s="329">
        <f t="shared" si="33"/>
        <v>4</v>
      </c>
      <c r="AL36" s="325">
        <v>66</v>
      </c>
      <c r="AM36" s="326">
        <f t="shared" si="34"/>
        <v>2</v>
      </c>
      <c r="AN36" s="326">
        <f t="shared" si="35"/>
        <v>4</v>
      </c>
      <c r="AO36" s="449"/>
      <c r="AP36" s="449"/>
      <c r="AQ36" s="450"/>
      <c r="AR36" s="329">
        <f>SUMIFS($D36:AQ36,$D$6:AQ$6,AR$12,$D$7:AQ$7,AR$7,$D$5:AQ$5,AR$5,$D$4:AQ$4,"&lt;&gt;"&amp;AR$4)</f>
        <v>6</v>
      </c>
      <c r="AS36" s="308">
        <f t="shared" si="36"/>
        <v>7</v>
      </c>
      <c r="AT36" s="329">
        <f>SUMIFS($D36:AS36,$D$6:AS$6,AT$12,$D$7:AS$7,AT$7,$D$5:AS$5,AT$5,$D$4:AS$4,"&lt;&gt;"&amp;AT$4)</f>
        <v>7</v>
      </c>
      <c r="AU36" s="308">
        <f t="shared" si="36"/>
        <v>3</v>
      </c>
      <c r="AV36" s="325">
        <v>0</v>
      </c>
      <c r="AW36" s="326">
        <f t="shared" si="37"/>
        <v>13</v>
      </c>
      <c r="AX36" s="326">
        <f t="shared" si="38"/>
        <v>1</v>
      </c>
      <c r="AY36" s="327">
        <v>0</v>
      </c>
      <c r="AZ36" s="328">
        <f t="shared" si="39"/>
        <v>14</v>
      </c>
      <c r="BA36" s="329">
        <f t="shared" si="40"/>
        <v>1</v>
      </c>
      <c r="BB36" s="325">
        <v>0</v>
      </c>
      <c r="BC36" s="326">
        <f t="shared" si="41"/>
        <v>8</v>
      </c>
      <c r="BD36" s="326">
        <f t="shared" si="42"/>
        <v>1</v>
      </c>
      <c r="BE36" s="330">
        <v>0</v>
      </c>
      <c r="BF36" s="328">
        <f t="shared" si="43"/>
        <v>8</v>
      </c>
      <c r="BG36" s="329">
        <f t="shared" si="44"/>
        <v>1</v>
      </c>
      <c r="BH36" s="325">
        <v>0</v>
      </c>
      <c r="BI36" s="326">
        <f t="shared" si="45"/>
        <v>9</v>
      </c>
      <c r="BJ36" s="326" cm="1">
        <f t="array" ref="BJ36">_xlfn.IFS(BH36&lt;BH$47, 1, BH36&lt;BH$48,2,BH36&lt;BH$49,3,BH36&lt;BH$50,4,BH36&gt;=BH$50,5)</f>
        <v>1</v>
      </c>
      <c r="BK36" s="331">
        <v>0</v>
      </c>
      <c r="BL36" s="328">
        <f t="shared" si="117"/>
        <v>7</v>
      </c>
      <c r="BM36" s="329">
        <f t="shared" si="47"/>
        <v>1</v>
      </c>
      <c r="BN36" s="329">
        <f>SUMIFS($D36:BM36,$D$6:BM$6,BN$12,$D$7:BM$7,BN$7,$D$5:BM$5,BN$5,$D$4:BM$4,"&lt;&gt;"&amp;BN$4)</f>
        <v>3</v>
      </c>
      <c r="BO36" s="308">
        <f t="shared" ref="BO36" si="188">RANK(BN36,BN$13:BN$42,0)</f>
        <v>14</v>
      </c>
      <c r="BP36" s="329">
        <f>SUMIFS($D36:BO36,$D$6:BO$6,BP$12,$D$7:BO$7,BP$7,$D$5:BO$5,BP$5,$D$4:BO$4,"&lt;&gt;"&amp;BP$4)</f>
        <v>3</v>
      </c>
      <c r="BQ36" s="308">
        <f t="shared" ref="BQ36" si="189">RANK(BP36,BP$13:BP$42,0)</f>
        <v>13</v>
      </c>
      <c r="BR36" s="325">
        <v>0</v>
      </c>
      <c r="BS36" s="326">
        <f t="shared" si="50"/>
        <v>7</v>
      </c>
      <c r="BT36" s="326">
        <f t="shared" si="51"/>
        <v>1</v>
      </c>
      <c r="BU36" s="327">
        <v>0</v>
      </c>
      <c r="BV36" s="328">
        <f t="shared" si="52"/>
        <v>10</v>
      </c>
      <c r="BW36" s="329">
        <f t="shared" si="53"/>
        <v>1</v>
      </c>
      <c r="BX36" s="325">
        <v>0</v>
      </c>
      <c r="BY36" s="326">
        <f t="shared" si="54"/>
        <v>10</v>
      </c>
      <c r="BZ36" s="326">
        <f t="shared" si="55"/>
        <v>1</v>
      </c>
      <c r="CA36" s="327">
        <v>0</v>
      </c>
      <c r="CB36" s="328">
        <f t="shared" si="56"/>
        <v>11</v>
      </c>
      <c r="CC36" s="329">
        <f t="shared" si="57"/>
        <v>1</v>
      </c>
      <c r="CD36" s="325">
        <v>0</v>
      </c>
      <c r="CE36" s="326">
        <f t="shared" si="58"/>
        <v>5</v>
      </c>
      <c r="CF36" s="326">
        <f t="shared" si="59"/>
        <v>1</v>
      </c>
      <c r="CG36" s="330">
        <v>0</v>
      </c>
      <c r="CH36" s="328">
        <f t="shared" si="60"/>
        <v>5</v>
      </c>
      <c r="CI36" s="329">
        <f t="shared" si="61"/>
        <v>1</v>
      </c>
      <c r="CJ36" s="329">
        <f>SUMIFS($D36:CI36,$D$6:CI$6,CJ$12,$D$7:CI$7,CJ$7,$D$5:CI$5,CJ$5,$D$4:CI$4,"&lt;&gt;"&amp;CJ$4)</f>
        <v>3</v>
      </c>
      <c r="CK36" s="308">
        <f t="shared" ref="CK36" si="190">RANK(CJ36,CJ$13:CJ$42,0)</f>
        <v>12</v>
      </c>
      <c r="CL36" s="329">
        <f>SUMIFS($D36:CK36,$D$6:CK$6,CL$12,$D$7:CK$7,CL$7,$D$5:CK$5,CL$5,$D$4:CK$4,"&lt;&gt;"&amp;CL$4)</f>
        <v>3</v>
      </c>
      <c r="CM36" s="308">
        <f t="shared" si="63"/>
        <v>16</v>
      </c>
      <c r="CN36" s="325">
        <v>0</v>
      </c>
      <c r="CO36" s="326">
        <f t="shared" si="64"/>
        <v>8</v>
      </c>
      <c r="CP36" s="326">
        <f t="shared" si="65"/>
        <v>1</v>
      </c>
      <c r="CQ36" s="327">
        <v>0</v>
      </c>
      <c r="CR36" s="328">
        <f t="shared" si="66"/>
        <v>11</v>
      </c>
      <c r="CS36" s="329">
        <f t="shared" si="67"/>
        <v>1</v>
      </c>
      <c r="CT36" s="325">
        <v>0</v>
      </c>
      <c r="CU36" s="326">
        <f t="shared" si="12"/>
        <v>12</v>
      </c>
      <c r="CV36" s="326">
        <f t="shared" si="68"/>
        <v>1</v>
      </c>
      <c r="CW36" s="330">
        <v>0</v>
      </c>
      <c r="CX36" s="328">
        <f t="shared" si="13"/>
        <v>13</v>
      </c>
      <c r="CY36" s="329">
        <f t="shared" si="69"/>
        <v>1</v>
      </c>
      <c r="CZ36" s="325">
        <v>31.628947368420999</v>
      </c>
      <c r="DA36" s="326">
        <f t="shared" si="94"/>
        <v>3</v>
      </c>
      <c r="DB36" s="326">
        <f t="shared" si="70"/>
        <v>4</v>
      </c>
      <c r="DC36" s="330">
        <v>30</v>
      </c>
      <c r="DD36" s="328">
        <f t="shared" si="15"/>
        <v>4</v>
      </c>
      <c r="DE36" s="329">
        <f t="shared" si="71"/>
        <v>3</v>
      </c>
      <c r="DF36" s="329">
        <f>SUMIFS($D36:DE36,$D$6:DE$6,DF$12,$D$7:DE$7,DF$7,$D$5:DE$5,DF$5,$D$4:DE$4,"&lt;&gt;"&amp;DF$4)</f>
        <v>6</v>
      </c>
      <c r="DG36" s="308">
        <f t="shared" ref="DG36" si="191">RANK(DF36,DF$13:DF$42,0)</f>
        <v>8</v>
      </c>
      <c r="DH36" s="329">
        <f>SUMIFS($D36:DG36,$D$6:DG$6,DH$12,$D$7:DG$7,DH$7,$D$5:DG$5,DH$5,$D$4:DG$4,"&lt;&gt;"&amp;DH$4)</f>
        <v>5</v>
      </c>
      <c r="DI36" s="308">
        <f t="shared" ref="DI36" si="192">RANK(DH36,DH$13:DH$42,0)</f>
        <v>9</v>
      </c>
      <c r="DJ36" s="332" cm="1">
        <f t="array" aca="1" ref="DJ36" ca="1">ROUNDUP(SUMPRODUCT(--($D$7:$DI$7=DJ$7),$D36:$DI36,$D$3:$DI$3),3)</f>
        <v>4.2</v>
      </c>
      <c r="DK36" s="326">
        <v>17</v>
      </c>
      <c r="DL36" s="331" cm="1">
        <f t="array" aca="1" ref="DL36" ca="1">ROUNDUP(SUMPRODUCT(--($D$7:$DI$7=DL$7),$D36:$DI36,$D$3:$DI$3),3)</f>
        <v>4.2</v>
      </c>
      <c r="DM36" s="333">
        <f t="shared" ca="1" si="74"/>
        <v>15</v>
      </c>
      <c r="DN36" s="451">
        <f t="shared" ca="1" si="16"/>
        <v>2</v>
      </c>
      <c r="DO36" s="345" t="s">
        <v>14</v>
      </c>
      <c r="DP36" s="334" t="s">
        <v>89</v>
      </c>
      <c r="DQ36" s="633"/>
    </row>
    <row r="37" spans="2:121" s="445" customFormat="1" ht="15" customHeight="1">
      <c r="B37" s="314" t="s">
        <v>90</v>
      </c>
      <c r="C37" s="343" t="s">
        <v>9</v>
      </c>
      <c r="D37" s="303">
        <v>560</v>
      </c>
      <c r="E37" s="304">
        <f t="shared" si="85"/>
        <v>3</v>
      </c>
      <c r="F37" s="304">
        <f t="shared" si="18"/>
        <v>4</v>
      </c>
      <c r="G37" s="306">
        <v>1500</v>
      </c>
      <c r="H37" s="312">
        <f t="shared" si="86"/>
        <v>2</v>
      </c>
      <c r="I37" s="383">
        <f t="shared" si="20"/>
        <v>5</v>
      </c>
      <c r="J37" s="303">
        <v>5.45</v>
      </c>
      <c r="K37" s="304">
        <f t="shared" si="87"/>
        <v>2</v>
      </c>
      <c r="L37" s="304">
        <f t="shared" si="22"/>
        <v>5</v>
      </c>
      <c r="M37" s="310">
        <v>5.71</v>
      </c>
      <c r="N37" s="312">
        <f t="shared" si="88"/>
        <v>3</v>
      </c>
      <c r="O37" s="335">
        <f t="shared" si="24"/>
        <v>4</v>
      </c>
      <c r="P37" s="303">
        <v>0.45000000025000003</v>
      </c>
      <c r="Q37" s="304">
        <f t="shared" si="89"/>
        <v>4</v>
      </c>
      <c r="R37" s="304">
        <f t="shared" si="26"/>
        <v>3</v>
      </c>
      <c r="S37" s="310">
        <v>14.4</v>
      </c>
      <c r="T37" s="312">
        <f t="shared" si="8"/>
        <v>4</v>
      </c>
      <c r="U37" s="335">
        <f t="shared" si="9"/>
        <v>3</v>
      </c>
      <c r="V37" s="335">
        <f>SUMIFS($D37:U37,$D$6:U$6,V$12,$D$7:U$7,V$7,$D$5:U$5,V$5,$D$4:U$4,"&lt;&gt;"&amp;V$4)</f>
        <v>12</v>
      </c>
      <c r="W37" s="308">
        <f t="shared" si="27"/>
        <v>1</v>
      </c>
      <c r="X37" s="335">
        <f>SUMIFS($D37:W37,$D$6:W$6,X$12,$D$7:W$7,X$7,$D$5:W$5,X$5,$D$4:W$4,"&lt;&gt;"&amp;X$4)</f>
        <v>12</v>
      </c>
      <c r="Y37" s="308">
        <f t="shared" si="27"/>
        <v>1</v>
      </c>
      <c r="Z37" s="303">
        <v>0</v>
      </c>
      <c r="AA37" s="304">
        <f t="shared" si="90"/>
        <v>11</v>
      </c>
      <c r="AB37" s="304">
        <f t="shared" si="29"/>
        <v>1</v>
      </c>
      <c r="AC37" s="306">
        <v>0</v>
      </c>
      <c r="AD37" s="312">
        <f t="shared" si="30"/>
        <v>11</v>
      </c>
      <c r="AE37" s="335">
        <f t="shared" si="31"/>
        <v>1</v>
      </c>
      <c r="AF37" s="303">
        <v>0</v>
      </c>
      <c r="AG37" s="304">
        <f t="shared" si="10"/>
        <v>10</v>
      </c>
      <c r="AH37" s="304">
        <f t="shared" si="32"/>
        <v>1</v>
      </c>
      <c r="AI37" s="310">
        <v>0</v>
      </c>
      <c r="AJ37" s="312">
        <f t="shared" si="11"/>
        <v>10</v>
      </c>
      <c r="AK37" s="335">
        <f t="shared" si="33"/>
        <v>1</v>
      </c>
      <c r="AL37" s="303">
        <v>0</v>
      </c>
      <c r="AM37" s="304">
        <f t="shared" si="34"/>
        <v>9</v>
      </c>
      <c r="AN37" s="304">
        <f t="shared" si="35"/>
        <v>1</v>
      </c>
      <c r="AO37" s="449"/>
      <c r="AP37" s="449"/>
      <c r="AQ37" s="450"/>
      <c r="AR37" s="335">
        <f>SUMIFS($D37:AQ37,$D$6:AQ$6,AR$12,$D$7:AQ$7,AR$7,$D$5:AQ$5,AR$5,$D$4:AQ$4,"&lt;&gt;"&amp;AR$4)</f>
        <v>3</v>
      </c>
      <c r="AS37" s="308">
        <f t="shared" si="36"/>
        <v>14</v>
      </c>
      <c r="AT37" s="335">
        <f>SUMIFS($D37:AS37,$D$6:AS$6,AT$12,$D$7:AS$7,AT$7,$D$5:AS$5,AT$5,$D$4:AS$4,"&lt;&gt;"&amp;AT$4)</f>
        <v>2</v>
      </c>
      <c r="AU37" s="308">
        <f t="shared" si="36"/>
        <v>10</v>
      </c>
      <c r="AV37" s="303">
        <v>3800</v>
      </c>
      <c r="AW37" s="304">
        <f t="shared" si="37"/>
        <v>2</v>
      </c>
      <c r="AX37" s="304">
        <f t="shared" si="38"/>
        <v>5</v>
      </c>
      <c r="AY37" s="306">
        <v>6200</v>
      </c>
      <c r="AZ37" s="312">
        <f t="shared" si="39"/>
        <v>2</v>
      </c>
      <c r="BA37" s="335">
        <f t="shared" si="40"/>
        <v>5</v>
      </c>
      <c r="BB37" s="303">
        <v>263.89119592500009</v>
      </c>
      <c r="BC37" s="304">
        <f t="shared" si="41"/>
        <v>1</v>
      </c>
      <c r="BD37" s="304">
        <f t="shared" si="42"/>
        <v>5</v>
      </c>
      <c r="BE37" s="310">
        <v>319.58999999999997</v>
      </c>
      <c r="BF37" s="312">
        <f t="shared" si="43"/>
        <v>1</v>
      </c>
      <c r="BG37" s="335">
        <f t="shared" si="44"/>
        <v>5</v>
      </c>
      <c r="BH37" s="303">
        <v>34.571191489361709</v>
      </c>
      <c r="BI37" s="304">
        <f t="shared" si="45"/>
        <v>4</v>
      </c>
      <c r="BJ37" s="304" cm="1">
        <f t="array" ref="BJ37">_xlfn.IFS(BH37&lt;BH$47, 1, BH37&lt;BH$48,2,BH37&lt;BH$49,3,BH37&lt;BH$50,4,BH37&gt;=BH$50,5)</f>
        <v>4</v>
      </c>
      <c r="BK37" s="309">
        <v>36.005000000000003</v>
      </c>
      <c r="BL37" s="312">
        <f t="shared" si="117"/>
        <v>3</v>
      </c>
      <c r="BM37" s="335">
        <f t="shared" si="47"/>
        <v>4</v>
      </c>
      <c r="BN37" s="335">
        <f>SUMIFS($D37:BM37,$D$6:BM$6,BN$12,$D$7:BM$7,BN$7,$D$5:BM$5,BN$5,$D$4:BM$4,"&lt;&gt;"&amp;BN$4)</f>
        <v>14</v>
      </c>
      <c r="BO37" s="308">
        <f t="shared" ref="BO37" si="193">RANK(BN37,BN$13:BN$42,0)</f>
        <v>2</v>
      </c>
      <c r="BP37" s="335">
        <f>SUMIFS($D37:BO37,$D$6:BO$6,BP$12,$D$7:BO$7,BP$7,$D$5:BO$5,BP$5,$D$4:BO$4,"&lt;&gt;"&amp;BP$4)</f>
        <v>14</v>
      </c>
      <c r="BQ37" s="308">
        <f t="shared" ref="BQ37" si="194">RANK(BP37,BP$13:BP$42,0)</f>
        <v>1</v>
      </c>
      <c r="BR37" s="303">
        <v>91000</v>
      </c>
      <c r="BS37" s="304">
        <f t="shared" si="50"/>
        <v>3</v>
      </c>
      <c r="BT37" s="304">
        <f t="shared" si="51"/>
        <v>4</v>
      </c>
      <c r="BU37" s="306">
        <v>270000</v>
      </c>
      <c r="BV37" s="312">
        <f t="shared" si="52"/>
        <v>3</v>
      </c>
      <c r="BW37" s="335">
        <f t="shared" si="53"/>
        <v>4</v>
      </c>
      <c r="BX37" s="303">
        <v>3404.81</v>
      </c>
      <c r="BY37" s="304">
        <f t="shared" si="54"/>
        <v>2</v>
      </c>
      <c r="BZ37" s="304">
        <f t="shared" si="55"/>
        <v>5</v>
      </c>
      <c r="CA37" s="306">
        <v>3487</v>
      </c>
      <c r="CB37" s="312">
        <f t="shared" si="56"/>
        <v>2</v>
      </c>
      <c r="CC37" s="335">
        <f t="shared" si="57"/>
        <v>5</v>
      </c>
      <c r="CD37" s="303">
        <v>0</v>
      </c>
      <c r="CE37" s="304">
        <f t="shared" si="58"/>
        <v>5</v>
      </c>
      <c r="CF37" s="304">
        <f t="shared" si="59"/>
        <v>1</v>
      </c>
      <c r="CG37" s="310">
        <v>0</v>
      </c>
      <c r="CH37" s="312">
        <f t="shared" si="60"/>
        <v>5</v>
      </c>
      <c r="CI37" s="335">
        <f t="shared" si="61"/>
        <v>1</v>
      </c>
      <c r="CJ37" s="335">
        <f>SUMIFS($D37:CI37,$D$6:CI$6,CJ$12,$D$7:CI$7,CJ$7,$D$5:CI$5,CJ$5,$D$4:CI$4,"&lt;&gt;"&amp;CJ$4)</f>
        <v>10</v>
      </c>
      <c r="CK37" s="308">
        <f t="shared" ref="CK37" si="195">RANK(CJ37,CJ$13:CJ$42,0)</f>
        <v>3</v>
      </c>
      <c r="CL37" s="335">
        <f>SUMIFS($D37:CK37,$D$6:CK$6,CL$12,$D$7:CK$7,CL$7,$D$5:CK$5,CL$5,$D$4:CK$4,"&lt;&gt;"&amp;CL$4)</f>
        <v>10</v>
      </c>
      <c r="CM37" s="308">
        <f t="shared" si="63"/>
        <v>3</v>
      </c>
      <c r="CN37" s="303">
        <v>8300</v>
      </c>
      <c r="CO37" s="304">
        <f t="shared" si="64"/>
        <v>3</v>
      </c>
      <c r="CP37" s="304">
        <f t="shared" si="65"/>
        <v>4</v>
      </c>
      <c r="CQ37" s="306">
        <v>21000</v>
      </c>
      <c r="CR37" s="312">
        <f t="shared" si="66"/>
        <v>2</v>
      </c>
      <c r="CS37" s="335">
        <f t="shared" si="67"/>
        <v>5</v>
      </c>
      <c r="CT37" s="303">
        <v>121.35868000000001</v>
      </c>
      <c r="CU37" s="304">
        <f t="shared" si="12"/>
        <v>3</v>
      </c>
      <c r="CV37" s="304">
        <f t="shared" si="68"/>
        <v>4</v>
      </c>
      <c r="CW37" s="310">
        <v>220.5975</v>
      </c>
      <c r="CX37" s="312">
        <f t="shared" si="13"/>
        <v>2</v>
      </c>
      <c r="CY37" s="335">
        <f t="shared" si="69"/>
        <v>5</v>
      </c>
      <c r="CZ37" s="303">
        <v>31.262</v>
      </c>
      <c r="DA37" s="304">
        <f t="shared" si="94"/>
        <v>4</v>
      </c>
      <c r="DB37" s="304">
        <f t="shared" si="70"/>
        <v>3</v>
      </c>
      <c r="DC37" s="310">
        <v>22.33</v>
      </c>
      <c r="DD37" s="312">
        <f t="shared" si="15"/>
        <v>5</v>
      </c>
      <c r="DE37" s="335">
        <f t="shared" si="71"/>
        <v>3</v>
      </c>
      <c r="DF37" s="335">
        <f>SUMIFS($D37:DE37,$D$6:DE$6,DF$12,$D$7:DE$7,DF$7,$D$5:DE$5,DF$5,$D$4:DE$4,"&lt;&gt;"&amp;DF$4)</f>
        <v>11</v>
      </c>
      <c r="DG37" s="308">
        <f t="shared" ref="DG37" si="196">RANK(DF37,DF$13:DF$42,0)</f>
        <v>2</v>
      </c>
      <c r="DH37" s="335">
        <f>SUMIFS($D37:DG37,$D$6:DG$6,DH$12,$D$7:DG$7,DH$7,$D$5:DG$5,DH$5,$D$4:DG$4,"&lt;&gt;"&amp;DH$4)</f>
        <v>13</v>
      </c>
      <c r="DI37" s="308">
        <f t="shared" ref="DI37" si="197">RANK(DH37,DH$13:DH$42,0)</f>
        <v>1</v>
      </c>
      <c r="DJ37" s="336" cm="1">
        <f t="array" aca="1" ref="DJ37" ca="1">ROUNDUP(SUMPRODUCT(--($D$7:$DI$7=DJ$7),$D37:$DI37,$D$3:$DI$3),3)</f>
        <v>10</v>
      </c>
      <c r="DK37" s="304">
        <v>2</v>
      </c>
      <c r="DL37" s="309" cm="1">
        <f t="array" aca="1" ref="DL37" ca="1">ROUNDUP(SUMPRODUCT(--($D$7:$DI$7=DL$7),$D37:$DI37,$D$3:$DI$3),3)</f>
        <v>10.199999999999999</v>
      </c>
      <c r="DM37" s="313">
        <f t="shared" ca="1" si="74"/>
        <v>2</v>
      </c>
      <c r="DN37" s="451">
        <f t="shared" ca="1" si="16"/>
        <v>0</v>
      </c>
      <c r="DO37" s="343" t="s">
        <v>9</v>
      </c>
      <c r="DP37" s="314" t="s">
        <v>90</v>
      </c>
      <c r="DQ37" s="633"/>
    </row>
    <row r="38" spans="2:121" s="445" customFormat="1" ht="15" customHeight="1">
      <c r="B38" s="322" t="s">
        <v>90</v>
      </c>
      <c r="C38" s="344" t="s">
        <v>7</v>
      </c>
      <c r="D38" s="317">
        <v>0</v>
      </c>
      <c r="E38" s="305">
        <f t="shared" si="85"/>
        <v>13</v>
      </c>
      <c r="F38" s="305">
        <f t="shared" si="18"/>
        <v>1</v>
      </c>
      <c r="G38" s="318">
        <v>0</v>
      </c>
      <c r="H38" s="307">
        <f t="shared" si="86"/>
        <v>15</v>
      </c>
      <c r="I38" s="386">
        <f t="shared" si="20"/>
        <v>1</v>
      </c>
      <c r="J38" s="317">
        <v>0</v>
      </c>
      <c r="K38" s="305">
        <f t="shared" si="87"/>
        <v>9</v>
      </c>
      <c r="L38" s="305">
        <f t="shared" si="22"/>
        <v>1</v>
      </c>
      <c r="M38" s="320">
        <v>0</v>
      </c>
      <c r="N38" s="307">
        <f t="shared" si="88"/>
        <v>13</v>
      </c>
      <c r="O38" s="308">
        <f t="shared" si="24"/>
        <v>1</v>
      </c>
      <c r="P38" s="317">
        <v>0</v>
      </c>
      <c r="Q38" s="305">
        <f t="shared" si="89"/>
        <v>6</v>
      </c>
      <c r="R38" s="305">
        <f t="shared" si="26"/>
        <v>1</v>
      </c>
      <c r="S38" s="320">
        <v>0</v>
      </c>
      <c r="T38" s="307">
        <f t="shared" si="8"/>
        <v>9</v>
      </c>
      <c r="U38" s="308">
        <f t="shared" si="9"/>
        <v>1</v>
      </c>
      <c r="V38" s="308">
        <f>SUMIFS($D38:U38,$D$6:U$6,V$12,$D$7:U$7,V$7,$D$5:U$5,V$5,$D$4:U$4,"&lt;&gt;"&amp;V$4)</f>
        <v>3</v>
      </c>
      <c r="W38" s="308">
        <f t="shared" si="27"/>
        <v>15</v>
      </c>
      <c r="X38" s="308">
        <f>SUMIFS($D38:W38,$D$6:W$6,X$12,$D$7:W$7,X$7,$D$5:W$5,X$5,$D$4:W$4,"&lt;&gt;"&amp;X$4)</f>
        <v>3</v>
      </c>
      <c r="Y38" s="308">
        <f t="shared" si="27"/>
        <v>15</v>
      </c>
      <c r="Z38" s="317">
        <v>8000</v>
      </c>
      <c r="AA38" s="305">
        <f t="shared" si="90"/>
        <v>4</v>
      </c>
      <c r="AB38" s="305">
        <f t="shared" si="29"/>
        <v>4</v>
      </c>
      <c r="AC38" s="318">
        <v>8000</v>
      </c>
      <c r="AD38" s="307">
        <f t="shared" si="30"/>
        <v>3</v>
      </c>
      <c r="AE38" s="308">
        <f t="shared" si="31"/>
        <v>4</v>
      </c>
      <c r="AF38" s="317">
        <v>6.5</v>
      </c>
      <c r="AG38" s="305">
        <f t="shared" si="10"/>
        <v>5</v>
      </c>
      <c r="AH38" s="305">
        <f t="shared" si="32"/>
        <v>3</v>
      </c>
      <c r="AI38" s="320">
        <v>8.3000000000000007</v>
      </c>
      <c r="AJ38" s="307">
        <f t="shared" si="11"/>
        <v>6</v>
      </c>
      <c r="AK38" s="308">
        <f t="shared" si="33"/>
        <v>3</v>
      </c>
      <c r="AL38" s="317">
        <v>0</v>
      </c>
      <c r="AM38" s="305">
        <f t="shared" si="34"/>
        <v>9</v>
      </c>
      <c r="AN38" s="305">
        <f t="shared" si="35"/>
        <v>1</v>
      </c>
      <c r="AO38" s="449"/>
      <c r="AP38" s="449"/>
      <c r="AQ38" s="450"/>
      <c r="AR38" s="308">
        <f>SUMIFS($D38:AQ38,$D$6:AQ$6,AR$12,$D$7:AQ$7,AR$7,$D$5:AQ$5,AR$5,$D$4:AQ$4,"&lt;&gt;"&amp;AR$4)</f>
        <v>8</v>
      </c>
      <c r="AS38" s="308">
        <f t="shared" si="36"/>
        <v>4</v>
      </c>
      <c r="AT38" s="308">
        <f>SUMIFS($D38:AS38,$D$6:AS$6,AT$12,$D$7:AS$7,AT$7,$D$5:AS$5,AT$5,$D$4:AS$4,"&lt;&gt;"&amp;AT$4)</f>
        <v>7</v>
      </c>
      <c r="AU38" s="308">
        <f t="shared" si="36"/>
        <v>3</v>
      </c>
      <c r="AV38" s="317">
        <v>0</v>
      </c>
      <c r="AW38" s="305">
        <f t="shared" si="37"/>
        <v>13</v>
      </c>
      <c r="AX38" s="305">
        <f t="shared" si="38"/>
        <v>1</v>
      </c>
      <c r="AY38" s="318">
        <v>0</v>
      </c>
      <c r="AZ38" s="307">
        <f t="shared" si="39"/>
        <v>14</v>
      </c>
      <c r="BA38" s="308">
        <f t="shared" si="40"/>
        <v>1</v>
      </c>
      <c r="BB38" s="317">
        <v>0</v>
      </c>
      <c r="BC38" s="305">
        <f t="shared" si="41"/>
        <v>8</v>
      </c>
      <c r="BD38" s="305">
        <f t="shared" si="42"/>
        <v>1</v>
      </c>
      <c r="BE38" s="320">
        <v>0</v>
      </c>
      <c r="BF38" s="307">
        <f t="shared" si="43"/>
        <v>8</v>
      </c>
      <c r="BG38" s="308">
        <f t="shared" si="44"/>
        <v>1</v>
      </c>
      <c r="BH38" s="317">
        <v>0</v>
      </c>
      <c r="BI38" s="305">
        <f t="shared" si="45"/>
        <v>9</v>
      </c>
      <c r="BJ38" s="305" cm="1">
        <f t="array" ref="BJ38">_xlfn.IFS(BH38&lt;BH$47, 1, BH38&lt;BH$48,2,BH38&lt;BH$49,3,BH38&lt;BH$50,4,BH38&gt;=BH$50,5)</f>
        <v>1</v>
      </c>
      <c r="BK38" s="319">
        <v>0</v>
      </c>
      <c r="BL38" s="307">
        <f t="shared" si="117"/>
        <v>7</v>
      </c>
      <c r="BM38" s="308">
        <f t="shared" si="47"/>
        <v>1</v>
      </c>
      <c r="BN38" s="308">
        <f>SUMIFS($D38:BM38,$D$6:BM$6,BN$12,$D$7:BM$7,BN$7,$D$5:BM$5,BN$5,$D$4:BM$4,"&lt;&gt;"&amp;BN$4)</f>
        <v>3</v>
      </c>
      <c r="BO38" s="308">
        <f t="shared" ref="BO38" si="198">RANK(BN38,BN$13:BN$42,0)</f>
        <v>14</v>
      </c>
      <c r="BP38" s="308">
        <f>SUMIFS($D38:BO38,$D$6:BO$6,BP$12,$D$7:BO$7,BP$7,$D$5:BO$5,BP$5,$D$4:BO$4,"&lt;&gt;"&amp;BP$4)</f>
        <v>3</v>
      </c>
      <c r="BQ38" s="308">
        <f t="shared" ref="BQ38" si="199">RANK(BP38,BP$13:BP$42,0)</f>
        <v>13</v>
      </c>
      <c r="BR38" s="317">
        <v>34000</v>
      </c>
      <c r="BS38" s="305">
        <f t="shared" si="50"/>
        <v>5</v>
      </c>
      <c r="BT38" s="305">
        <f t="shared" si="51"/>
        <v>2</v>
      </c>
      <c r="BU38" s="318">
        <v>34000</v>
      </c>
      <c r="BV38" s="307">
        <f t="shared" si="52"/>
        <v>5</v>
      </c>
      <c r="BW38" s="308">
        <f t="shared" si="53"/>
        <v>4</v>
      </c>
      <c r="BX38" s="317">
        <v>1422.8626000000002</v>
      </c>
      <c r="BY38" s="305">
        <f t="shared" si="54"/>
        <v>5</v>
      </c>
      <c r="BZ38" s="305">
        <f t="shared" si="55"/>
        <v>3</v>
      </c>
      <c r="CA38" s="318">
        <v>1571</v>
      </c>
      <c r="CB38" s="307">
        <f t="shared" si="56"/>
        <v>5</v>
      </c>
      <c r="CC38" s="308">
        <f t="shared" si="57"/>
        <v>3</v>
      </c>
      <c r="CD38" s="317">
        <v>0</v>
      </c>
      <c r="CE38" s="305">
        <f t="shared" si="58"/>
        <v>5</v>
      </c>
      <c r="CF38" s="305">
        <f t="shared" si="59"/>
        <v>1</v>
      </c>
      <c r="CG38" s="320">
        <v>0</v>
      </c>
      <c r="CH38" s="307">
        <f t="shared" si="60"/>
        <v>5</v>
      </c>
      <c r="CI38" s="308">
        <f t="shared" si="61"/>
        <v>1</v>
      </c>
      <c r="CJ38" s="308">
        <f>SUMIFS($D38:CI38,$D$6:CI$6,CJ$12,$D$7:CI$7,CJ$7,$D$5:CI$5,CJ$5,$D$4:CI$4,"&lt;&gt;"&amp;CJ$4)</f>
        <v>6</v>
      </c>
      <c r="CK38" s="308">
        <f t="shared" ref="CK38" si="200">RANK(CJ38,CJ$13:CJ$42,0)</f>
        <v>5</v>
      </c>
      <c r="CL38" s="308">
        <f>SUMIFS($D38:CK38,$D$6:CK$6,CL$12,$D$7:CK$7,CL$7,$D$5:CK$5,CL$5,$D$4:CK$4,"&lt;&gt;"&amp;CL$4)</f>
        <v>8</v>
      </c>
      <c r="CM38" s="308">
        <f t="shared" si="63"/>
        <v>5</v>
      </c>
      <c r="CN38" s="317">
        <v>0</v>
      </c>
      <c r="CO38" s="305">
        <f t="shared" si="64"/>
        <v>8</v>
      </c>
      <c r="CP38" s="305">
        <f t="shared" si="65"/>
        <v>1</v>
      </c>
      <c r="CQ38" s="318">
        <v>0</v>
      </c>
      <c r="CR38" s="307">
        <f t="shared" si="66"/>
        <v>11</v>
      </c>
      <c r="CS38" s="308">
        <f t="shared" si="67"/>
        <v>1</v>
      </c>
      <c r="CT38" s="317">
        <v>0</v>
      </c>
      <c r="CU38" s="305">
        <f t="shared" si="12"/>
        <v>12</v>
      </c>
      <c r="CV38" s="305">
        <f t="shared" si="68"/>
        <v>1</v>
      </c>
      <c r="CW38" s="320">
        <v>0</v>
      </c>
      <c r="CX38" s="307">
        <f t="shared" si="13"/>
        <v>13</v>
      </c>
      <c r="CY38" s="308">
        <f t="shared" si="69"/>
        <v>1</v>
      </c>
      <c r="CZ38" s="317">
        <v>5.4</v>
      </c>
      <c r="DA38" s="305">
        <f t="shared" si="94"/>
        <v>7</v>
      </c>
      <c r="DB38" s="305">
        <f t="shared" si="70"/>
        <v>2</v>
      </c>
      <c r="DC38" s="320">
        <v>0</v>
      </c>
      <c r="DD38" s="307">
        <f t="shared" si="15"/>
        <v>8</v>
      </c>
      <c r="DE38" s="308">
        <f t="shared" si="71"/>
        <v>1</v>
      </c>
      <c r="DF38" s="308">
        <f>SUMIFS($D38:DE38,$D$6:DE$6,DF$12,$D$7:DE$7,DF$7,$D$5:DE$5,DF$5,$D$4:DE$4,"&lt;&gt;"&amp;DF$4)</f>
        <v>4</v>
      </c>
      <c r="DG38" s="308">
        <f t="shared" ref="DG38" si="201">RANK(DF38,DF$13:DF$42,0)</f>
        <v>12</v>
      </c>
      <c r="DH38" s="308">
        <f>SUMIFS($D38:DG38,$D$6:DG$6,DH$12,$D$7:DG$7,DH$7,$D$5:DG$5,DH$5,$D$4:DG$4,"&lt;&gt;"&amp;DH$4)</f>
        <v>3</v>
      </c>
      <c r="DI38" s="308">
        <f t="shared" ref="DI38" si="202">RANK(DH38,DH$13:DH$42,0)</f>
        <v>14</v>
      </c>
      <c r="DJ38" s="311" cm="1">
        <f t="array" aca="1" ref="DJ38" ca="1">ROUNDUP(SUMPRODUCT(--($D$7:$DI$7=DJ$7),$D38:$DI38,$D$3:$DI$3),3)</f>
        <v>4.8</v>
      </c>
      <c r="DK38" s="305">
        <v>13</v>
      </c>
      <c r="DL38" s="319" cm="1">
        <f t="array" aca="1" ref="DL38" ca="1">ROUNDUP(SUMPRODUCT(--($D$7:$DI$7=DL$7),$D38:$DI38,$D$3:$DI$3),3)</f>
        <v>4.8</v>
      </c>
      <c r="DM38" s="321">
        <f t="shared" ca="1" si="74"/>
        <v>11</v>
      </c>
      <c r="DN38" s="451">
        <f t="shared" ca="1" si="16"/>
        <v>2</v>
      </c>
      <c r="DO38" s="344" t="s">
        <v>7</v>
      </c>
      <c r="DP38" s="322" t="s">
        <v>90</v>
      </c>
      <c r="DQ38" s="633"/>
    </row>
    <row r="39" spans="2:121" s="445" customFormat="1" ht="15" customHeight="1">
      <c r="B39" s="322" t="s">
        <v>90</v>
      </c>
      <c r="C39" s="344" t="s">
        <v>10</v>
      </c>
      <c r="D39" s="317">
        <v>600</v>
      </c>
      <c r="E39" s="305">
        <f t="shared" si="85"/>
        <v>2</v>
      </c>
      <c r="F39" s="305">
        <f t="shared" si="18"/>
        <v>5</v>
      </c>
      <c r="G39" s="318">
        <v>600</v>
      </c>
      <c r="H39" s="307">
        <f t="shared" si="86"/>
        <v>3</v>
      </c>
      <c r="I39" s="386">
        <f t="shared" si="20"/>
        <v>5</v>
      </c>
      <c r="J39" s="317">
        <v>0</v>
      </c>
      <c r="K39" s="305">
        <f t="shared" si="87"/>
        <v>9</v>
      </c>
      <c r="L39" s="305">
        <f t="shared" si="22"/>
        <v>1</v>
      </c>
      <c r="M39" s="320">
        <v>9.51</v>
      </c>
      <c r="N39" s="307">
        <f>RANK(M39,$M$13:$M$42,0)</f>
        <v>2</v>
      </c>
      <c r="O39" s="308">
        <f t="shared" si="24"/>
        <v>5</v>
      </c>
      <c r="P39" s="317">
        <v>0</v>
      </c>
      <c r="Q39" s="305">
        <f t="shared" si="89"/>
        <v>6</v>
      </c>
      <c r="R39" s="305">
        <f t="shared" si="26"/>
        <v>1</v>
      </c>
      <c r="S39" s="320">
        <v>2.44</v>
      </c>
      <c r="T39" s="307">
        <f t="shared" si="8"/>
        <v>8</v>
      </c>
      <c r="U39" s="308">
        <f t="shared" si="9"/>
        <v>2</v>
      </c>
      <c r="V39" s="308">
        <f>SUMIFS($D39:U39,$D$6:U$6,V$12,$D$7:U$7,V$7,$D$5:U$5,V$5,$D$4:U$4,"&lt;&gt;"&amp;V$4)</f>
        <v>7</v>
      </c>
      <c r="W39" s="308">
        <f t="shared" si="27"/>
        <v>7</v>
      </c>
      <c r="X39" s="308">
        <f>SUMIFS($D39:W39,$D$6:W$6,X$12,$D$7:W$7,X$7,$D$5:W$5,X$5,$D$4:W$4,"&lt;&gt;"&amp;X$4)</f>
        <v>12</v>
      </c>
      <c r="Y39" s="308">
        <f t="shared" si="27"/>
        <v>1</v>
      </c>
      <c r="Z39" s="317">
        <v>0</v>
      </c>
      <c r="AA39" s="305">
        <f t="shared" si="90"/>
        <v>11</v>
      </c>
      <c r="AB39" s="305">
        <f t="shared" si="29"/>
        <v>1</v>
      </c>
      <c r="AC39" s="318">
        <v>0</v>
      </c>
      <c r="AD39" s="307">
        <f t="shared" si="30"/>
        <v>11</v>
      </c>
      <c r="AE39" s="308">
        <f t="shared" si="31"/>
        <v>1</v>
      </c>
      <c r="AF39" s="317">
        <v>0</v>
      </c>
      <c r="AG39" s="305">
        <f t="shared" si="10"/>
        <v>10</v>
      </c>
      <c r="AH39" s="305">
        <f t="shared" si="32"/>
        <v>1</v>
      </c>
      <c r="AI39" s="320">
        <v>0</v>
      </c>
      <c r="AJ39" s="307">
        <f t="shared" si="11"/>
        <v>10</v>
      </c>
      <c r="AK39" s="308">
        <f t="shared" si="33"/>
        <v>1</v>
      </c>
      <c r="AL39" s="317">
        <v>0</v>
      </c>
      <c r="AM39" s="305">
        <f t="shared" si="34"/>
        <v>9</v>
      </c>
      <c r="AN39" s="305">
        <f t="shared" si="35"/>
        <v>1</v>
      </c>
      <c r="AO39" s="449"/>
      <c r="AP39" s="449"/>
      <c r="AQ39" s="450"/>
      <c r="AR39" s="308">
        <f>SUMIFS($D39:AQ39,$D$6:AQ$6,AR$12,$D$7:AQ$7,AR$7,$D$5:AQ$5,AR$5,$D$4:AQ$4,"&lt;&gt;"&amp;AR$4)</f>
        <v>3</v>
      </c>
      <c r="AS39" s="308">
        <f t="shared" si="36"/>
        <v>14</v>
      </c>
      <c r="AT39" s="308">
        <f>SUMIFS($D39:AS39,$D$6:AS$6,AT$12,$D$7:AS$7,AT$7,$D$5:AS$5,AT$5,$D$4:AS$4,"&lt;&gt;"&amp;AT$4)</f>
        <v>2</v>
      </c>
      <c r="AU39" s="308">
        <f t="shared" si="36"/>
        <v>10</v>
      </c>
      <c r="AV39" s="317">
        <v>0</v>
      </c>
      <c r="AW39" s="305">
        <f t="shared" si="37"/>
        <v>13</v>
      </c>
      <c r="AX39" s="305">
        <f t="shared" si="38"/>
        <v>1</v>
      </c>
      <c r="AY39" s="318">
        <v>0</v>
      </c>
      <c r="AZ39" s="307">
        <f t="shared" si="39"/>
        <v>14</v>
      </c>
      <c r="BA39" s="308">
        <f t="shared" si="40"/>
        <v>1</v>
      </c>
      <c r="BB39" s="317">
        <v>0</v>
      </c>
      <c r="BC39" s="305">
        <f t="shared" si="41"/>
        <v>8</v>
      </c>
      <c r="BD39" s="305">
        <f t="shared" si="42"/>
        <v>1</v>
      </c>
      <c r="BE39" s="320">
        <v>0</v>
      </c>
      <c r="BF39" s="307">
        <f t="shared" si="43"/>
        <v>8</v>
      </c>
      <c r="BG39" s="308">
        <f t="shared" si="44"/>
        <v>1</v>
      </c>
      <c r="BH39" s="317">
        <v>0</v>
      </c>
      <c r="BI39" s="305">
        <f t="shared" si="45"/>
        <v>9</v>
      </c>
      <c r="BJ39" s="305" cm="1">
        <f t="array" ref="BJ39">_xlfn.IFS(BH39&lt;BH$47, 1, BH39&lt;BH$48,2,BH39&lt;BH$49,3,BH39&lt;BH$50,4,BH39&gt;=BH$50,5)</f>
        <v>1</v>
      </c>
      <c r="BK39" s="319">
        <v>0</v>
      </c>
      <c r="BL39" s="307">
        <f t="shared" si="117"/>
        <v>7</v>
      </c>
      <c r="BM39" s="308">
        <f t="shared" si="47"/>
        <v>1</v>
      </c>
      <c r="BN39" s="308">
        <f>SUMIFS($D39:BM39,$D$6:BM$6,BN$12,$D$7:BM$7,BN$7,$D$5:BM$5,BN$5,$D$4:BM$4,"&lt;&gt;"&amp;BN$4)</f>
        <v>3</v>
      </c>
      <c r="BO39" s="308">
        <f t="shared" ref="BO39" si="203">RANK(BN39,BN$13:BN$42,0)</f>
        <v>14</v>
      </c>
      <c r="BP39" s="308">
        <f>SUMIFS($D39:BO39,$D$6:BO$6,BP$12,$D$7:BO$7,BP$7,$D$5:BO$5,BP$5,$D$4:BO$4,"&lt;&gt;"&amp;BP$4)</f>
        <v>3</v>
      </c>
      <c r="BQ39" s="308">
        <f t="shared" ref="BQ39" si="204">RANK(BP39,BP$13:BP$42,0)</f>
        <v>13</v>
      </c>
      <c r="BR39" s="317">
        <v>0</v>
      </c>
      <c r="BS39" s="305">
        <f t="shared" si="50"/>
        <v>7</v>
      </c>
      <c r="BT39" s="305">
        <f t="shared" si="51"/>
        <v>1</v>
      </c>
      <c r="BU39" s="318">
        <v>0</v>
      </c>
      <c r="BV39" s="307">
        <f t="shared" si="52"/>
        <v>10</v>
      </c>
      <c r="BW39" s="308">
        <f t="shared" si="53"/>
        <v>1</v>
      </c>
      <c r="BX39" s="317">
        <v>26.5</v>
      </c>
      <c r="BY39" s="305">
        <f t="shared" si="54"/>
        <v>9</v>
      </c>
      <c r="BZ39" s="305">
        <f t="shared" si="55"/>
        <v>1</v>
      </c>
      <c r="CA39" s="318">
        <v>26.5</v>
      </c>
      <c r="CB39" s="307">
        <f t="shared" si="56"/>
        <v>10</v>
      </c>
      <c r="CC39" s="308">
        <f t="shared" si="57"/>
        <v>1</v>
      </c>
      <c r="CD39" s="317">
        <v>0.8</v>
      </c>
      <c r="CE39" s="305">
        <f t="shared" si="58"/>
        <v>3</v>
      </c>
      <c r="CF39" s="305">
        <f t="shared" si="59"/>
        <v>3</v>
      </c>
      <c r="CG39" s="320">
        <v>1.6</v>
      </c>
      <c r="CH39" s="307">
        <f t="shared" si="60"/>
        <v>3</v>
      </c>
      <c r="CI39" s="308">
        <f t="shared" si="61"/>
        <v>3</v>
      </c>
      <c r="CJ39" s="308">
        <f>SUMIFS($D39:CI39,$D$6:CI$6,CJ$12,$D$7:CI$7,CJ$7,$D$5:CI$5,CJ$5,$D$4:CI$4,"&lt;&gt;"&amp;CJ$4)</f>
        <v>5</v>
      </c>
      <c r="CK39" s="308">
        <f t="shared" ref="CK39" si="205">RANK(CJ39,CJ$13:CJ$42,0)</f>
        <v>7</v>
      </c>
      <c r="CL39" s="308">
        <f>SUMIFS($D39:CK39,$D$6:CK$6,CL$12,$D$7:CK$7,CL$7,$D$5:CK$5,CL$5,$D$4:CK$4,"&lt;&gt;"&amp;CL$4)</f>
        <v>5</v>
      </c>
      <c r="CM39" s="308">
        <f t="shared" si="63"/>
        <v>8</v>
      </c>
      <c r="CN39" s="317">
        <v>21000</v>
      </c>
      <c r="CO39" s="305">
        <f t="shared" si="64"/>
        <v>1</v>
      </c>
      <c r="CP39" s="305">
        <f t="shared" si="65"/>
        <v>5</v>
      </c>
      <c r="CQ39" s="318">
        <v>21381.0645</v>
      </c>
      <c r="CR39" s="307">
        <f t="shared" si="66"/>
        <v>1</v>
      </c>
      <c r="CS39" s="308">
        <f t="shared" si="67"/>
        <v>5</v>
      </c>
      <c r="CT39" s="317">
        <v>100.25</v>
      </c>
      <c r="CU39" s="305">
        <f t="shared" si="12"/>
        <v>4</v>
      </c>
      <c r="CV39" s="305">
        <f t="shared" si="68"/>
        <v>4</v>
      </c>
      <c r="CW39" s="320">
        <v>183.38744</v>
      </c>
      <c r="CX39" s="307">
        <f t="shared" si="13"/>
        <v>4</v>
      </c>
      <c r="CY39" s="308">
        <f t="shared" si="69"/>
        <v>4</v>
      </c>
      <c r="CZ39" s="317">
        <v>0</v>
      </c>
      <c r="DA39" s="305">
        <f t="shared" si="94"/>
        <v>8</v>
      </c>
      <c r="DB39" s="305">
        <f t="shared" si="70"/>
        <v>1</v>
      </c>
      <c r="DC39" s="320">
        <v>85</v>
      </c>
      <c r="DD39" s="307">
        <f t="shared" si="15"/>
        <v>2</v>
      </c>
      <c r="DE39" s="308">
        <f t="shared" si="71"/>
        <v>4</v>
      </c>
      <c r="DF39" s="308">
        <f>SUMIFS($D39:DE39,$D$6:DE$6,DF$12,$D$7:DE$7,DF$7,$D$5:DE$5,DF$5,$D$4:DE$4,"&lt;&gt;"&amp;DF$4)</f>
        <v>10</v>
      </c>
      <c r="DG39" s="308">
        <f t="shared" ref="DG39" si="206">RANK(DF39,DF$13:DF$42,0)</f>
        <v>3</v>
      </c>
      <c r="DH39" s="308">
        <f>SUMIFS($D39:DG39,$D$6:DG$6,DH$12,$D$7:DG$7,DH$7,$D$5:DG$5,DH$5,$D$4:DG$4,"&lt;&gt;"&amp;DH$4)</f>
        <v>13</v>
      </c>
      <c r="DI39" s="308">
        <f t="shared" ref="DI39" si="207">RANK(DH39,DH$13:DH$42,0)</f>
        <v>1</v>
      </c>
      <c r="DJ39" s="311" cm="1">
        <f t="array" aca="1" ref="DJ39" ca="1">ROUNDUP(SUMPRODUCT(--($D$7:$DI$7=DJ$7),$D39:$DI39,$D$3:$DI$3),3)</f>
        <v>5.6</v>
      </c>
      <c r="DK39" s="305">
        <v>5</v>
      </c>
      <c r="DL39" s="319" cm="1">
        <f t="array" aca="1" ref="DL39" ca="1">ROUNDUP(SUMPRODUCT(--($D$7:$DI$7=DL$7),$D39:$DI39,$D$3:$DI$3),3)</f>
        <v>7</v>
      </c>
      <c r="DM39" s="321">
        <f t="shared" ca="1" si="74"/>
        <v>5</v>
      </c>
      <c r="DN39" s="451">
        <f t="shared" ca="1" si="16"/>
        <v>0</v>
      </c>
      <c r="DO39" s="344" t="s">
        <v>10</v>
      </c>
      <c r="DP39" s="322" t="s">
        <v>90</v>
      </c>
      <c r="DQ39" s="633"/>
    </row>
    <row r="40" spans="2:121" s="445" customFormat="1" ht="15" customHeight="1">
      <c r="B40" s="322" t="s">
        <v>90</v>
      </c>
      <c r="C40" s="344" t="s">
        <v>82</v>
      </c>
      <c r="D40" s="317">
        <v>260</v>
      </c>
      <c r="E40" s="305">
        <f t="shared" si="85"/>
        <v>4</v>
      </c>
      <c r="F40" s="305">
        <f t="shared" si="18"/>
        <v>4</v>
      </c>
      <c r="G40" s="318">
        <v>260</v>
      </c>
      <c r="H40" s="307">
        <f t="shared" si="86"/>
        <v>4</v>
      </c>
      <c r="I40" s="386">
        <f t="shared" si="20"/>
        <v>4</v>
      </c>
      <c r="J40" s="317">
        <v>5</v>
      </c>
      <c r="K40" s="305">
        <f t="shared" si="87"/>
        <v>3</v>
      </c>
      <c r="L40" s="305">
        <f t="shared" si="22"/>
        <v>4</v>
      </c>
      <c r="M40" s="320">
        <v>5.71</v>
      </c>
      <c r="N40" s="307">
        <f t="shared" ref="N40:N42" si="208">RANK(M40,$M$13:$M$42,0)</f>
        <v>3</v>
      </c>
      <c r="O40" s="308">
        <f t="shared" si="24"/>
        <v>4</v>
      </c>
      <c r="P40" s="317">
        <v>0</v>
      </c>
      <c r="Q40" s="305">
        <f t="shared" si="89"/>
        <v>6</v>
      </c>
      <c r="R40" s="305">
        <f t="shared" si="26"/>
        <v>1</v>
      </c>
      <c r="S40" s="320">
        <v>0</v>
      </c>
      <c r="T40" s="307">
        <f t="shared" si="8"/>
        <v>9</v>
      </c>
      <c r="U40" s="308">
        <f t="shared" si="9"/>
        <v>1</v>
      </c>
      <c r="V40" s="308">
        <f>SUMIFS($D40:U40,$D$6:U$6,V$12,$D$7:U$7,V$7,$D$5:U$5,V$5,$D$4:U$4,"&lt;&gt;"&amp;V$4)</f>
        <v>9</v>
      </c>
      <c r="W40" s="308">
        <f t="shared" si="27"/>
        <v>5</v>
      </c>
      <c r="X40" s="308">
        <f>SUMIFS($D40:W40,$D$6:W$6,X$12,$D$7:W$7,X$7,$D$5:W$5,X$5,$D$4:W$4,"&lt;&gt;"&amp;X$4)</f>
        <v>9</v>
      </c>
      <c r="Y40" s="308">
        <f t="shared" si="27"/>
        <v>7</v>
      </c>
      <c r="Z40" s="317">
        <v>0</v>
      </c>
      <c r="AA40" s="305">
        <f t="shared" si="90"/>
        <v>11</v>
      </c>
      <c r="AB40" s="305">
        <f t="shared" si="29"/>
        <v>1</v>
      </c>
      <c r="AC40" s="318">
        <v>0</v>
      </c>
      <c r="AD40" s="307">
        <f t="shared" si="30"/>
        <v>11</v>
      </c>
      <c r="AE40" s="308">
        <f t="shared" si="31"/>
        <v>1</v>
      </c>
      <c r="AF40" s="317">
        <v>0</v>
      </c>
      <c r="AG40" s="305">
        <f t="shared" si="10"/>
        <v>10</v>
      </c>
      <c r="AH40" s="305">
        <f t="shared" si="32"/>
        <v>1</v>
      </c>
      <c r="AI40" s="320">
        <v>0</v>
      </c>
      <c r="AJ40" s="307">
        <f t="shared" si="11"/>
        <v>10</v>
      </c>
      <c r="AK40" s="308">
        <f t="shared" si="33"/>
        <v>1</v>
      </c>
      <c r="AL40" s="317">
        <v>0</v>
      </c>
      <c r="AM40" s="305">
        <f t="shared" si="34"/>
        <v>9</v>
      </c>
      <c r="AN40" s="305">
        <f t="shared" si="35"/>
        <v>1</v>
      </c>
      <c r="AO40" s="449"/>
      <c r="AP40" s="449"/>
      <c r="AQ40" s="450"/>
      <c r="AR40" s="308">
        <f>SUMIFS($D40:AQ40,$D$6:AQ$6,AR$12,$D$7:AQ$7,AR$7,$D$5:AQ$5,AR$5,$D$4:AQ$4,"&lt;&gt;"&amp;AR$4)</f>
        <v>3</v>
      </c>
      <c r="AS40" s="308">
        <f t="shared" si="36"/>
        <v>14</v>
      </c>
      <c r="AT40" s="308">
        <f>SUMIFS($D40:AS40,$D$6:AS$6,AT$12,$D$7:AS$7,AT$7,$D$5:AS$5,AT$5,$D$4:AS$4,"&lt;&gt;"&amp;AT$4)</f>
        <v>2</v>
      </c>
      <c r="AU40" s="308">
        <f t="shared" si="36"/>
        <v>10</v>
      </c>
      <c r="AV40" s="317">
        <v>0</v>
      </c>
      <c r="AW40" s="305">
        <f t="shared" si="37"/>
        <v>13</v>
      </c>
      <c r="AX40" s="305">
        <f t="shared" si="38"/>
        <v>1</v>
      </c>
      <c r="AY40" s="318">
        <v>0</v>
      </c>
      <c r="AZ40" s="307">
        <f t="shared" si="39"/>
        <v>14</v>
      </c>
      <c r="BA40" s="308">
        <f t="shared" si="40"/>
        <v>1</v>
      </c>
      <c r="BB40" s="317">
        <v>0</v>
      </c>
      <c r="BC40" s="305">
        <f t="shared" si="41"/>
        <v>8</v>
      </c>
      <c r="BD40" s="305">
        <f t="shared" si="42"/>
        <v>1</v>
      </c>
      <c r="BE40" s="320">
        <v>0</v>
      </c>
      <c r="BF40" s="307">
        <f t="shared" si="43"/>
        <v>8</v>
      </c>
      <c r="BG40" s="308">
        <f t="shared" si="44"/>
        <v>1</v>
      </c>
      <c r="BH40" s="317">
        <v>0</v>
      </c>
      <c r="BI40" s="305">
        <f t="shared" si="45"/>
        <v>9</v>
      </c>
      <c r="BJ40" s="305" cm="1">
        <f t="array" ref="BJ40">_xlfn.IFS(BH40&lt;BH$47, 1, BH40&lt;BH$48,2,BH40&lt;BH$49,3,BH40&lt;BH$50,4,BH40&gt;=BH$50,5)</f>
        <v>1</v>
      </c>
      <c r="BK40" s="319">
        <v>0</v>
      </c>
      <c r="BL40" s="307">
        <f t="shared" si="117"/>
        <v>7</v>
      </c>
      <c r="BM40" s="308">
        <f t="shared" si="47"/>
        <v>1</v>
      </c>
      <c r="BN40" s="308">
        <f>SUMIFS($D40:BM40,$D$6:BM$6,BN$12,$D$7:BM$7,BN$7,$D$5:BM$5,BN$5,$D$4:BM$4,"&lt;&gt;"&amp;BN$4)</f>
        <v>3</v>
      </c>
      <c r="BO40" s="308">
        <f t="shared" ref="BO40" si="209">RANK(BN40,BN$13:BN$42,0)</f>
        <v>14</v>
      </c>
      <c r="BP40" s="308">
        <f>SUMIFS($D40:BO40,$D$6:BO$6,BP$12,$D$7:BO$7,BP$7,$D$5:BO$5,BP$5,$D$4:BO$4,"&lt;&gt;"&amp;BP$4)</f>
        <v>3</v>
      </c>
      <c r="BQ40" s="308">
        <f t="shared" ref="BQ40" si="210">RANK(BP40,BP$13:BP$42,0)</f>
        <v>13</v>
      </c>
      <c r="BR40" s="317">
        <v>0</v>
      </c>
      <c r="BS40" s="305">
        <f t="shared" si="50"/>
        <v>7</v>
      </c>
      <c r="BT40" s="305">
        <f t="shared" si="51"/>
        <v>1</v>
      </c>
      <c r="BU40" s="318">
        <v>0</v>
      </c>
      <c r="BV40" s="307">
        <f t="shared" si="52"/>
        <v>10</v>
      </c>
      <c r="BW40" s="308">
        <f t="shared" si="53"/>
        <v>1</v>
      </c>
      <c r="BX40" s="317">
        <v>0</v>
      </c>
      <c r="BY40" s="305">
        <f t="shared" si="54"/>
        <v>10</v>
      </c>
      <c r="BZ40" s="305">
        <f t="shared" si="55"/>
        <v>1</v>
      </c>
      <c r="CA40" s="318">
        <v>0</v>
      </c>
      <c r="CB40" s="307">
        <f t="shared" si="56"/>
        <v>11</v>
      </c>
      <c r="CC40" s="308">
        <f t="shared" si="57"/>
        <v>1</v>
      </c>
      <c r="CD40" s="317">
        <v>0</v>
      </c>
      <c r="CE40" s="305">
        <f t="shared" si="58"/>
        <v>5</v>
      </c>
      <c r="CF40" s="305">
        <f t="shared" si="59"/>
        <v>1</v>
      </c>
      <c r="CG40" s="320">
        <v>0</v>
      </c>
      <c r="CH40" s="307">
        <f t="shared" si="60"/>
        <v>5</v>
      </c>
      <c r="CI40" s="308">
        <f t="shared" si="61"/>
        <v>1</v>
      </c>
      <c r="CJ40" s="308">
        <f>SUMIFS($D40:CI40,$D$6:CI$6,CJ$12,$D$7:CI$7,CJ$7,$D$5:CI$5,CJ$5,$D$4:CI$4,"&lt;&gt;"&amp;CJ$4)</f>
        <v>3</v>
      </c>
      <c r="CK40" s="308">
        <f t="shared" ref="CK40" si="211">RANK(CJ40,CJ$13:CJ$42,0)</f>
        <v>12</v>
      </c>
      <c r="CL40" s="308">
        <f>SUMIFS($D40:CK40,$D$6:CK$6,CL$12,$D$7:CK$7,CL$7,$D$5:CK$5,CL$5,$D$4:CK$4,"&lt;&gt;"&amp;CL$4)</f>
        <v>3</v>
      </c>
      <c r="CM40" s="308">
        <f t="shared" si="63"/>
        <v>16</v>
      </c>
      <c r="CN40" s="317">
        <v>4800</v>
      </c>
      <c r="CO40" s="305">
        <f t="shared" si="64"/>
        <v>4</v>
      </c>
      <c r="CP40" s="305">
        <f t="shared" si="65"/>
        <v>3</v>
      </c>
      <c r="CQ40" s="318">
        <v>4800</v>
      </c>
      <c r="CR40" s="307">
        <f t="shared" si="66"/>
        <v>6</v>
      </c>
      <c r="CS40" s="308">
        <f t="shared" si="67"/>
        <v>3</v>
      </c>
      <c r="CT40" s="317">
        <v>60</v>
      </c>
      <c r="CU40" s="305">
        <f t="shared" si="12"/>
        <v>6</v>
      </c>
      <c r="CV40" s="305">
        <f t="shared" si="68"/>
        <v>3</v>
      </c>
      <c r="CW40" s="320">
        <v>60</v>
      </c>
      <c r="CX40" s="307">
        <f t="shared" si="13"/>
        <v>6</v>
      </c>
      <c r="CY40" s="308">
        <f t="shared" si="69"/>
        <v>3</v>
      </c>
      <c r="CZ40" s="317">
        <v>0</v>
      </c>
      <c r="DA40" s="305">
        <f t="shared" si="94"/>
        <v>8</v>
      </c>
      <c r="DB40" s="305">
        <f t="shared" si="70"/>
        <v>1</v>
      </c>
      <c r="DC40" s="320">
        <v>0</v>
      </c>
      <c r="DD40" s="307">
        <f t="shared" si="15"/>
        <v>8</v>
      </c>
      <c r="DE40" s="308">
        <f t="shared" si="71"/>
        <v>1</v>
      </c>
      <c r="DF40" s="308">
        <f>SUMIFS($D40:DE40,$D$6:DE$6,DF$12,$D$7:DE$7,DF$7,$D$5:DE$5,DF$5,$D$4:DE$4,"&lt;&gt;"&amp;DF$4)</f>
        <v>7</v>
      </c>
      <c r="DG40" s="308">
        <f t="shared" ref="DG40" si="212">RANK(DF40,DF$13:DF$42,0)</f>
        <v>5</v>
      </c>
      <c r="DH40" s="308">
        <f>SUMIFS($D40:DG40,$D$6:DG$6,DH$12,$D$7:DG$7,DH$7,$D$5:DG$5,DH$5,$D$4:DG$4,"&lt;&gt;"&amp;DH$4)</f>
        <v>7</v>
      </c>
      <c r="DI40" s="308">
        <f t="shared" ref="DI40" si="213">RANK(DH40,DH$13:DH$42,0)</f>
        <v>8</v>
      </c>
      <c r="DJ40" s="311" cm="1">
        <f t="array" aca="1" ref="DJ40" ca="1">ROUNDUP(SUMPRODUCT(--($D$7:$DI$7=DJ$7),$D40:$DI40,$D$3:$DI$3),3)</f>
        <v>5</v>
      </c>
      <c r="DK40" s="305">
        <v>10</v>
      </c>
      <c r="DL40" s="319" cm="1">
        <f t="array" aca="1" ref="DL40" ca="1">ROUNDUP(SUMPRODUCT(--($D$7:$DI$7=DL$7),$D40:$DI40,$D$3:$DI$3),3)</f>
        <v>4.8</v>
      </c>
      <c r="DM40" s="321">
        <f t="shared" ca="1" si="74"/>
        <v>11</v>
      </c>
      <c r="DN40" s="451">
        <f t="shared" ca="1" si="16"/>
        <v>-1</v>
      </c>
      <c r="DO40" s="344" t="s">
        <v>82</v>
      </c>
      <c r="DP40" s="322" t="s">
        <v>90</v>
      </c>
      <c r="DQ40" s="633"/>
    </row>
    <row r="41" spans="2:121" s="445" customFormat="1" ht="15" customHeight="1">
      <c r="B41" s="322" t="s">
        <v>90</v>
      </c>
      <c r="C41" s="344" t="s">
        <v>57</v>
      </c>
      <c r="D41" s="317">
        <v>0</v>
      </c>
      <c r="E41" s="305">
        <f t="shared" si="85"/>
        <v>13</v>
      </c>
      <c r="F41" s="305">
        <f t="shared" si="18"/>
        <v>1</v>
      </c>
      <c r="G41" s="318">
        <v>0</v>
      </c>
      <c r="H41" s="307">
        <f t="shared" si="86"/>
        <v>15</v>
      </c>
      <c r="I41" s="386">
        <f t="shared" si="20"/>
        <v>1</v>
      </c>
      <c r="J41" s="317">
        <v>0</v>
      </c>
      <c r="K41" s="305">
        <f t="shared" si="87"/>
        <v>9</v>
      </c>
      <c r="L41" s="305">
        <f t="shared" si="22"/>
        <v>1</v>
      </c>
      <c r="M41" s="320">
        <v>0</v>
      </c>
      <c r="N41" s="307">
        <f t="shared" si="208"/>
        <v>13</v>
      </c>
      <c r="O41" s="308">
        <f t="shared" si="24"/>
        <v>1</v>
      </c>
      <c r="P41" s="317">
        <v>0</v>
      </c>
      <c r="Q41" s="305">
        <f t="shared" si="89"/>
        <v>6</v>
      </c>
      <c r="R41" s="305">
        <f t="shared" si="26"/>
        <v>1</v>
      </c>
      <c r="S41" s="320">
        <v>0</v>
      </c>
      <c r="T41" s="307">
        <f t="shared" si="8"/>
        <v>9</v>
      </c>
      <c r="U41" s="308">
        <f t="shared" si="9"/>
        <v>1</v>
      </c>
      <c r="V41" s="308">
        <f>SUMIFS($D41:U41,$D$6:U$6,V$12,$D$7:U$7,V$7,$D$5:U$5,V$5,$D$4:U$4,"&lt;&gt;"&amp;V$4)</f>
        <v>3</v>
      </c>
      <c r="W41" s="308">
        <f t="shared" si="27"/>
        <v>15</v>
      </c>
      <c r="X41" s="308">
        <f>SUMIFS($D41:W41,$D$6:W$6,X$12,$D$7:W$7,X$7,$D$5:W$5,X$5,$D$4:W$4,"&lt;&gt;"&amp;X$4)</f>
        <v>3</v>
      </c>
      <c r="Y41" s="308">
        <f t="shared" si="27"/>
        <v>15</v>
      </c>
      <c r="Z41" s="317">
        <v>0</v>
      </c>
      <c r="AA41" s="305">
        <f t="shared" si="90"/>
        <v>11</v>
      </c>
      <c r="AB41" s="305">
        <f t="shared" si="29"/>
        <v>1</v>
      </c>
      <c r="AC41" s="318">
        <v>0</v>
      </c>
      <c r="AD41" s="307">
        <f t="shared" si="30"/>
        <v>11</v>
      </c>
      <c r="AE41" s="308">
        <f t="shared" si="31"/>
        <v>1</v>
      </c>
      <c r="AF41" s="317">
        <v>0</v>
      </c>
      <c r="AG41" s="305">
        <f t="shared" si="10"/>
        <v>10</v>
      </c>
      <c r="AH41" s="305">
        <f t="shared" si="32"/>
        <v>1</v>
      </c>
      <c r="AI41" s="320">
        <v>0</v>
      </c>
      <c r="AJ41" s="307">
        <f t="shared" si="11"/>
        <v>10</v>
      </c>
      <c r="AK41" s="308">
        <f t="shared" si="33"/>
        <v>1</v>
      </c>
      <c r="AL41" s="317">
        <v>0</v>
      </c>
      <c r="AM41" s="305">
        <f t="shared" si="34"/>
        <v>9</v>
      </c>
      <c r="AN41" s="305">
        <f t="shared" si="35"/>
        <v>1</v>
      </c>
      <c r="AO41" s="449"/>
      <c r="AP41" s="449"/>
      <c r="AQ41" s="450"/>
      <c r="AR41" s="308">
        <f>SUMIFS($D41:AQ41,$D$6:AQ$6,AR$12,$D$7:AQ$7,AR$7,$D$5:AQ$5,AR$5,$D$4:AQ$4,"&lt;&gt;"&amp;AR$4)</f>
        <v>3</v>
      </c>
      <c r="AS41" s="308">
        <f t="shared" si="36"/>
        <v>14</v>
      </c>
      <c r="AT41" s="308">
        <f>SUMIFS($D41:AS41,$D$6:AS$6,AT$12,$D$7:AS$7,AT$7,$D$5:AS$5,AT$5,$D$4:AS$4,"&lt;&gt;"&amp;AT$4)</f>
        <v>2</v>
      </c>
      <c r="AU41" s="308">
        <f t="shared" si="36"/>
        <v>10</v>
      </c>
      <c r="AV41" s="317">
        <v>0</v>
      </c>
      <c r="AW41" s="305">
        <f t="shared" si="37"/>
        <v>13</v>
      </c>
      <c r="AX41" s="305">
        <f t="shared" si="38"/>
        <v>1</v>
      </c>
      <c r="AY41" s="318">
        <v>0</v>
      </c>
      <c r="AZ41" s="307">
        <f t="shared" si="39"/>
        <v>14</v>
      </c>
      <c r="BA41" s="308">
        <f t="shared" si="40"/>
        <v>1</v>
      </c>
      <c r="BB41" s="317">
        <v>0</v>
      </c>
      <c r="BC41" s="305">
        <f t="shared" si="41"/>
        <v>8</v>
      </c>
      <c r="BD41" s="305">
        <f t="shared" si="42"/>
        <v>1</v>
      </c>
      <c r="BE41" s="320">
        <v>0</v>
      </c>
      <c r="BF41" s="307">
        <f t="shared" si="43"/>
        <v>8</v>
      </c>
      <c r="BG41" s="308">
        <f t="shared" si="44"/>
        <v>1</v>
      </c>
      <c r="BH41" s="317">
        <v>0</v>
      </c>
      <c r="BI41" s="305">
        <f t="shared" si="45"/>
        <v>9</v>
      </c>
      <c r="BJ41" s="305" cm="1">
        <f t="array" ref="BJ41">_xlfn.IFS(BH41&lt;BH$47, 1, BH41&lt;BH$48,2,BH41&lt;BH$49,3,BH41&lt;BH$50,4,BH41&gt;=BH$50,5)</f>
        <v>1</v>
      </c>
      <c r="BK41" s="319">
        <v>0</v>
      </c>
      <c r="BL41" s="307">
        <f t="shared" si="117"/>
        <v>7</v>
      </c>
      <c r="BM41" s="308">
        <f t="shared" si="47"/>
        <v>1</v>
      </c>
      <c r="BN41" s="308">
        <f>SUMIFS($D41:BM41,$D$6:BM$6,BN$12,$D$7:BM$7,BN$7,$D$5:BM$5,BN$5,$D$4:BM$4,"&lt;&gt;"&amp;BN$4)</f>
        <v>3</v>
      </c>
      <c r="BO41" s="308">
        <f t="shared" ref="BO41" si="214">RANK(BN41,BN$13:BN$42,0)</f>
        <v>14</v>
      </c>
      <c r="BP41" s="308">
        <f>SUMIFS($D41:BO41,$D$6:BO$6,BP$12,$D$7:BO$7,BP$7,$D$5:BO$5,BP$5,$D$4:BO$4,"&lt;&gt;"&amp;BP$4)</f>
        <v>3</v>
      </c>
      <c r="BQ41" s="308">
        <f t="shared" ref="BQ41" si="215">RANK(BP41,BP$13:BP$42,0)</f>
        <v>13</v>
      </c>
      <c r="BR41" s="317">
        <v>0</v>
      </c>
      <c r="BS41" s="305">
        <f t="shared" si="50"/>
        <v>7</v>
      </c>
      <c r="BT41" s="305">
        <f t="shared" si="51"/>
        <v>1</v>
      </c>
      <c r="BU41" s="318">
        <v>0</v>
      </c>
      <c r="BV41" s="307">
        <f t="shared" si="52"/>
        <v>10</v>
      </c>
      <c r="BW41" s="308">
        <f t="shared" si="53"/>
        <v>1</v>
      </c>
      <c r="BX41" s="317">
        <v>0</v>
      </c>
      <c r="BY41" s="305">
        <f t="shared" si="54"/>
        <v>10</v>
      </c>
      <c r="BZ41" s="305">
        <f t="shared" si="55"/>
        <v>1</v>
      </c>
      <c r="CA41" s="318">
        <v>0</v>
      </c>
      <c r="CB41" s="307">
        <f t="shared" si="56"/>
        <v>11</v>
      </c>
      <c r="CC41" s="308">
        <f t="shared" si="57"/>
        <v>1</v>
      </c>
      <c r="CD41" s="317">
        <v>0</v>
      </c>
      <c r="CE41" s="305">
        <f t="shared" si="58"/>
        <v>5</v>
      </c>
      <c r="CF41" s="305">
        <f t="shared" si="59"/>
        <v>1</v>
      </c>
      <c r="CG41" s="320">
        <v>0</v>
      </c>
      <c r="CH41" s="307">
        <f t="shared" si="60"/>
        <v>5</v>
      </c>
      <c r="CI41" s="308">
        <f t="shared" si="61"/>
        <v>1</v>
      </c>
      <c r="CJ41" s="308">
        <f>SUMIFS($D41:CI41,$D$6:CI$6,CJ$12,$D$7:CI$7,CJ$7,$D$5:CI$5,CJ$5,$D$4:CI$4,"&lt;&gt;"&amp;CJ$4)</f>
        <v>3</v>
      </c>
      <c r="CK41" s="308">
        <f t="shared" ref="CK41" si="216">RANK(CJ41,CJ$13:CJ$42,0)</f>
        <v>12</v>
      </c>
      <c r="CL41" s="308">
        <f>SUMIFS($D41:CK41,$D$6:CK$6,CL$12,$D$7:CK$7,CL$7,$D$5:CK$5,CL$5,$D$4:CK$4,"&lt;&gt;"&amp;CL$4)</f>
        <v>3</v>
      </c>
      <c r="CM41" s="308">
        <f t="shared" si="63"/>
        <v>16</v>
      </c>
      <c r="CN41" s="317">
        <v>0</v>
      </c>
      <c r="CO41" s="305">
        <f t="shared" si="64"/>
        <v>8</v>
      </c>
      <c r="CP41" s="305">
        <f t="shared" si="65"/>
        <v>1</v>
      </c>
      <c r="CQ41" s="318">
        <v>0</v>
      </c>
      <c r="CR41" s="307">
        <f t="shared" si="66"/>
        <v>11</v>
      </c>
      <c r="CS41" s="308">
        <f t="shared" si="67"/>
        <v>1</v>
      </c>
      <c r="CT41" s="317">
        <v>0</v>
      </c>
      <c r="CU41" s="305">
        <f t="shared" si="12"/>
        <v>12</v>
      </c>
      <c r="CV41" s="305">
        <f t="shared" si="68"/>
        <v>1</v>
      </c>
      <c r="CW41" s="320">
        <v>0</v>
      </c>
      <c r="CX41" s="307">
        <f t="shared" si="13"/>
        <v>13</v>
      </c>
      <c r="CY41" s="308">
        <f t="shared" si="69"/>
        <v>1</v>
      </c>
      <c r="CZ41" s="317">
        <v>0</v>
      </c>
      <c r="DA41" s="305">
        <f t="shared" si="94"/>
        <v>8</v>
      </c>
      <c r="DB41" s="305">
        <f t="shared" si="70"/>
        <v>1</v>
      </c>
      <c r="DC41" s="320">
        <v>0</v>
      </c>
      <c r="DD41" s="307">
        <f t="shared" si="15"/>
        <v>8</v>
      </c>
      <c r="DE41" s="308">
        <f t="shared" si="71"/>
        <v>1</v>
      </c>
      <c r="DF41" s="308">
        <f>SUMIFS($D41:DE41,$D$6:DE$6,DF$12,$D$7:DE$7,DF$7,$D$5:DE$5,DF$5,$D$4:DE$4,"&lt;&gt;"&amp;DF$4)</f>
        <v>3</v>
      </c>
      <c r="DG41" s="308">
        <f t="shared" ref="DG41" si="217">RANK(DF41,DF$13:DF$42,0)</f>
        <v>13</v>
      </c>
      <c r="DH41" s="308">
        <f>SUMIFS($D41:DG41,$D$6:DG$6,DH$12,$D$7:DG$7,DH$7,$D$5:DG$5,DH$5,$D$4:DG$4,"&lt;&gt;"&amp;DH$4)</f>
        <v>3</v>
      </c>
      <c r="DI41" s="308">
        <f t="shared" ref="DI41" si="218">RANK(DH41,DH$13:DH$42,0)</f>
        <v>14</v>
      </c>
      <c r="DJ41" s="311" cm="1">
        <f t="array" aca="1" ref="DJ41" ca="1">ROUNDUP(SUMPRODUCT(--($D$7:$DI$7=DJ$7),$D41:$DI41,$D$3:$DI$3),3)</f>
        <v>3</v>
      </c>
      <c r="DK41" s="305">
        <v>26</v>
      </c>
      <c r="DL41" s="319" cm="1">
        <f t="array" aca="1" ref="DL41" ca="1">ROUNDUP(SUMPRODUCT(--($D$7:$DI$7=DL$7),$D41:$DI41,$D$3:$DI$3),3)</f>
        <v>2.8</v>
      </c>
      <c r="DM41" s="321">
        <f t="shared" ca="1" si="74"/>
        <v>24</v>
      </c>
      <c r="DN41" s="451">
        <f t="shared" ca="1" si="16"/>
        <v>2</v>
      </c>
      <c r="DO41" s="344" t="s">
        <v>57</v>
      </c>
      <c r="DP41" s="322" t="s">
        <v>90</v>
      </c>
      <c r="DQ41" s="633"/>
    </row>
    <row r="42" spans="2:121" s="445" customFormat="1" ht="15" customHeight="1">
      <c r="B42" s="322" t="s">
        <v>90</v>
      </c>
      <c r="C42" s="344" t="s">
        <v>58</v>
      </c>
      <c r="D42" s="317">
        <v>0</v>
      </c>
      <c r="E42" s="305">
        <f>RANK(D42,$D$13:$D$42,0)</f>
        <v>13</v>
      </c>
      <c r="F42" s="305">
        <f t="shared" si="18"/>
        <v>1</v>
      </c>
      <c r="G42" s="318">
        <v>0</v>
      </c>
      <c r="H42" s="307">
        <f>RANK(G42,$G$13:$G$42,0)</f>
        <v>15</v>
      </c>
      <c r="I42" s="386">
        <f t="shared" si="20"/>
        <v>1</v>
      </c>
      <c r="J42" s="317">
        <v>0</v>
      </c>
      <c r="K42" s="305">
        <f t="shared" si="87"/>
        <v>9</v>
      </c>
      <c r="L42" s="305">
        <f t="shared" si="22"/>
        <v>1</v>
      </c>
      <c r="M42" s="320">
        <v>0</v>
      </c>
      <c r="N42" s="307">
        <f t="shared" si="208"/>
        <v>13</v>
      </c>
      <c r="O42" s="346">
        <f t="shared" si="24"/>
        <v>1</v>
      </c>
      <c r="P42" s="317">
        <v>0</v>
      </c>
      <c r="Q42" s="305">
        <f t="shared" si="89"/>
        <v>6</v>
      </c>
      <c r="R42" s="305">
        <f t="shared" si="26"/>
        <v>1</v>
      </c>
      <c r="S42" s="320">
        <v>0</v>
      </c>
      <c r="T42" s="307">
        <f t="shared" si="8"/>
        <v>9</v>
      </c>
      <c r="U42" s="346">
        <f t="shared" si="9"/>
        <v>1</v>
      </c>
      <c r="V42" s="308">
        <f>SUMIFS($D42:U42,$D$6:U$6,V$12,$D$7:U$7,V$7,$D$5:U$5,V$5,$D$4:U$4,"&lt;&gt;"&amp;V$4)</f>
        <v>3</v>
      </c>
      <c r="W42" s="308">
        <f t="shared" si="27"/>
        <v>15</v>
      </c>
      <c r="X42" s="308">
        <f>SUMIFS($D42:W42,$D$6:W$6,X$12,$D$7:W$7,X$7,$D$5:W$5,X$5,$D$4:W$4,"&lt;&gt;"&amp;X$4)</f>
        <v>3</v>
      </c>
      <c r="Y42" s="308">
        <f t="shared" si="27"/>
        <v>15</v>
      </c>
      <c r="Z42" s="317">
        <v>406.62</v>
      </c>
      <c r="AA42" s="305">
        <f t="shared" si="90"/>
        <v>8</v>
      </c>
      <c r="AB42" s="305">
        <f t="shared" si="29"/>
        <v>2</v>
      </c>
      <c r="AC42" s="318">
        <v>407</v>
      </c>
      <c r="AD42" s="307">
        <f t="shared" si="30"/>
        <v>8</v>
      </c>
      <c r="AE42" s="346">
        <f t="shared" si="31"/>
        <v>2</v>
      </c>
      <c r="AF42" s="317">
        <v>5.4</v>
      </c>
      <c r="AG42" s="305">
        <f t="shared" si="10"/>
        <v>6</v>
      </c>
      <c r="AH42" s="305">
        <f t="shared" si="32"/>
        <v>3</v>
      </c>
      <c r="AI42" s="320">
        <v>5</v>
      </c>
      <c r="AJ42" s="307">
        <f t="shared" si="11"/>
        <v>7</v>
      </c>
      <c r="AK42" s="346">
        <f t="shared" si="33"/>
        <v>2</v>
      </c>
      <c r="AL42" s="317">
        <v>0</v>
      </c>
      <c r="AM42" s="305">
        <f t="shared" si="34"/>
        <v>9</v>
      </c>
      <c r="AN42" s="305">
        <f t="shared" si="35"/>
        <v>1</v>
      </c>
      <c r="AO42" s="452"/>
      <c r="AP42" s="452"/>
      <c r="AQ42" s="453"/>
      <c r="AR42" s="308">
        <f>SUMIFS($D42:AQ42,$D$6:AQ$6,AR$12,$D$7:AQ$7,AR$7,$D$5:AQ$5,AR$5,$D$4:AQ$4,"&lt;&gt;"&amp;AR$4)</f>
        <v>6</v>
      </c>
      <c r="AS42" s="308">
        <f t="shared" si="36"/>
        <v>7</v>
      </c>
      <c r="AT42" s="308">
        <f>SUMIFS($D42:AS42,$D$6:AS$6,AT$12,$D$7:AS$7,AT$7,$D$5:AS$5,AT$5,$D$4:AS$4,"&lt;&gt;"&amp;AT$4)</f>
        <v>4</v>
      </c>
      <c r="AU42" s="308">
        <f t="shared" si="36"/>
        <v>8</v>
      </c>
      <c r="AV42" s="317">
        <v>0</v>
      </c>
      <c r="AW42" s="305">
        <f t="shared" si="37"/>
        <v>13</v>
      </c>
      <c r="AX42" s="305">
        <f t="shared" si="38"/>
        <v>1</v>
      </c>
      <c r="AY42" s="318">
        <v>0</v>
      </c>
      <c r="AZ42" s="307">
        <f t="shared" si="39"/>
        <v>14</v>
      </c>
      <c r="BA42" s="346">
        <f t="shared" si="40"/>
        <v>1</v>
      </c>
      <c r="BB42" s="317">
        <v>0</v>
      </c>
      <c r="BC42" s="305">
        <f t="shared" si="41"/>
        <v>8</v>
      </c>
      <c r="BD42" s="305">
        <f t="shared" si="42"/>
        <v>1</v>
      </c>
      <c r="BE42" s="320">
        <v>0</v>
      </c>
      <c r="BF42" s="307">
        <f t="shared" si="43"/>
        <v>8</v>
      </c>
      <c r="BG42" s="346">
        <f t="shared" si="44"/>
        <v>1</v>
      </c>
      <c r="BH42" s="317">
        <v>0</v>
      </c>
      <c r="BI42" s="305">
        <f t="shared" si="45"/>
        <v>9</v>
      </c>
      <c r="BJ42" s="305" cm="1">
        <f t="array" ref="BJ42">_xlfn.IFS(BH42&lt;BH$47, 1, BH42&lt;BH$48,2,BH42&lt;BH$49,3,BH42&lt;BH$50,4,BH42&gt;=BH$50,5)</f>
        <v>1</v>
      </c>
      <c r="BK42" s="319">
        <v>0</v>
      </c>
      <c r="BL42" s="307">
        <f t="shared" si="117"/>
        <v>7</v>
      </c>
      <c r="BM42" s="346">
        <f t="shared" si="47"/>
        <v>1</v>
      </c>
      <c r="BN42" s="308">
        <f>SUMIFS($D42:BM42,$D$6:BM$6,BN$12,$D$7:BM$7,BN$7,$D$5:BM$5,BN$5,$D$4:BM$4,"&lt;&gt;"&amp;BN$4)</f>
        <v>3</v>
      </c>
      <c r="BO42" s="308">
        <f t="shared" ref="BO42" si="219">RANK(BN42,BN$13:BN$42,0)</f>
        <v>14</v>
      </c>
      <c r="BP42" s="308">
        <f>SUMIFS($D42:BO42,$D$6:BO$6,BP$12,$D$7:BO$7,BP$7,$D$5:BO$5,BP$5,$D$4:BO$4,"&lt;&gt;"&amp;BP$4)</f>
        <v>3</v>
      </c>
      <c r="BQ42" s="308">
        <f t="shared" ref="BQ42" si="220">RANK(BP42,BP$13:BP$42,0)</f>
        <v>13</v>
      </c>
      <c r="BR42" s="317">
        <v>0</v>
      </c>
      <c r="BS42" s="305">
        <f t="shared" si="50"/>
        <v>7</v>
      </c>
      <c r="BT42" s="305">
        <f t="shared" si="51"/>
        <v>1</v>
      </c>
      <c r="BU42" s="318">
        <v>0</v>
      </c>
      <c r="BV42" s="307">
        <f t="shared" si="52"/>
        <v>10</v>
      </c>
      <c r="BW42" s="346">
        <f t="shared" si="53"/>
        <v>1</v>
      </c>
      <c r="BX42" s="317">
        <v>0</v>
      </c>
      <c r="BY42" s="305">
        <f t="shared" si="54"/>
        <v>10</v>
      </c>
      <c r="BZ42" s="305">
        <f t="shared" si="55"/>
        <v>1</v>
      </c>
      <c r="CA42" s="318">
        <v>150</v>
      </c>
      <c r="CB42" s="307">
        <f t="shared" si="56"/>
        <v>8</v>
      </c>
      <c r="CC42" s="346">
        <f t="shared" si="57"/>
        <v>2</v>
      </c>
      <c r="CD42" s="317">
        <v>0</v>
      </c>
      <c r="CE42" s="305">
        <f t="shared" si="58"/>
        <v>5</v>
      </c>
      <c r="CF42" s="305">
        <f t="shared" si="59"/>
        <v>1</v>
      </c>
      <c r="CG42" s="320">
        <v>0</v>
      </c>
      <c r="CH42" s="307">
        <f t="shared" si="60"/>
        <v>5</v>
      </c>
      <c r="CI42" s="346">
        <f t="shared" si="61"/>
        <v>1</v>
      </c>
      <c r="CJ42" s="308">
        <f>SUMIFS($D42:CI42,$D$6:CI$6,CJ$12,$D$7:CI$7,CJ$7,$D$5:CI$5,CJ$5,$D$4:CI$4,"&lt;&gt;"&amp;CJ$4)</f>
        <v>3</v>
      </c>
      <c r="CK42" s="308">
        <f t="shared" ref="CK42" si="221">RANK(CJ42,CJ$13:CJ$42,0)</f>
        <v>12</v>
      </c>
      <c r="CL42" s="308">
        <f>SUMIFS($D42:CK42,$D$6:CK$6,CL$12,$D$7:CK$7,CL$7,$D$5:CK$5,CL$5,$D$4:CK$4,"&lt;&gt;"&amp;CL$4)</f>
        <v>4</v>
      </c>
      <c r="CM42" s="308">
        <f t="shared" si="63"/>
        <v>11</v>
      </c>
      <c r="CN42" s="317">
        <v>0</v>
      </c>
      <c r="CO42" s="305">
        <f t="shared" si="64"/>
        <v>8</v>
      </c>
      <c r="CP42" s="305">
        <f t="shared" si="65"/>
        <v>1</v>
      </c>
      <c r="CQ42" s="318">
        <v>0</v>
      </c>
      <c r="CR42" s="307">
        <f t="shared" si="66"/>
        <v>11</v>
      </c>
      <c r="CS42" s="346">
        <f t="shared" si="67"/>
        <v>1</v>
      </c>
      <c r="CT42" s="317">
        <v>0</v>
      </c>
      <c r="CU42" s="305">
        <f t="shared" si="12"/>
        <v>12</v>
      </c>
      <c r="CV42" s="305">
        <f t="shared" si="68"/>
        <v>1</v>
      </c>
      <c r="CW42" s="320">
        <v>0</v>
      </c>
      <c r="CX42" s="307">
        <f t="shared" si="13"/>
        <v>13</v>
      </c>
      <c r="CY42" s="346">
        <f t="shared" si="69"/>
        <v>1</v>
      </c>
      <c r="CZ42" s="317">
        <v>0</v>
      </c>
      <c r="DA42" s="305">
        <f t="shared" si="94"/>
        <v>8</v>
      </c>
      <c r="DB42" s="305">
        <f t="shared" si="70"/>
        <v>1</v>
      </c>
      <c r="DC42" s="320">
        <v>0</v>
      </c>
      <c r="DD42" s="307">
        <f t="shared" si="15"/>
        <v>8</v>
      </c>
      <c r="DE42" s="346">
        <f t="shared" si="71"/>
        <v>1</v>
      </c>
      <c r="DF42" s="308">
        <f>SUMIFS($D42:DE42,$D$6:DE$6,DF$12,$D$7:DE$7,DF$7,$D$5:DE$5,DF$5,$D$4:DE$4,"&lt;&gt;"&amp;DF$4)</f>
        <v>3</v>
      </c>
      <c r="DG42" s="308">
        <f t="shared" ref="DG42" si="222">RANK(DF42,DF$13:DF$42,0)</f>
        <v>13</v>
      </c>
      <c r="DH42" s="308">
        <f>SUMIFS($D42:DG42,$D$6:DG$6,DH$12,$D$7:DG$7,DH$7,$D$5:DG$5,DH$5,$D$4:DG$4,"&lt;&gt;"&amp;DH$4)</f>
        <v>3</v>
      </c>
      <c r="DI42" s="308">
        <f t="shared" ref="DI42" si="223">RANK(DH42,DH$13:DH$42,0)</f>
        <v>14</v>
      </c>
      <c r="DJ42" s="311" cm="1">
        <f t="array" aca="1" ref="DJ42" ca="1">ROUNDUP(SUMPRODUCT(--($D$7:$DI$7=DJ$7),$D42:$DI42,$D$3:$DI$3),3)</f>
        <v>3.6</v>
      </c>
      <c r="DK42" s="305">
        <v>20</v>
      </c>
      <c r="DL42" s="319" cm="1">
        <f t="array" aca="1" ref="DL42" ca="1">ROUNDUP(SUMPRODUCT(--($D$7:$DI$7=DL$7),$D42:$DI42,$D$3:$DI$3),3)</f>
        <v>3.4</v>
      </c>
      <c r="DM42" s="321">
        <f t="shared" ca="1" si="74"/>
        <v>19</v>
      </c>
      <c r="DN42" s="451">
        <f t="shared" ca="1" si="16"/>
        <v>1</v>
      </c>
      <c r="DO42" s="345" t="s">
        <v>58</v>
      </c>
      <c r="DP42" s="334" t="s">
        <v>90</v>
      </c>
      <c r="DQ42" s="633"/>
    </row>
    <row r="43" spans="2:121" s="445" customFormat="1" ht="15" customHeight="1">
      <c r="B43" s="756" t="s">
        <v>347</v>
      </c>
      <c r="C43" s="757"/>
      <c r="D43" s="347">
        <f>SUM(D13:D42)</f>
        <v>5472</v>
      </c>
      <c r="E43" s="348"/>
      <c r="F43" s="348"/>
      <c r="G43" s="348">
        <f t="shared" ref="G43:DC43" si="224">SUM(G13:G42)</f>
        <v>7008.5</v>
      </c>
      <c r="H43" s="348"/>
      <c r="I43" s="349"/>
      <c r="J43" s="347">
        <f t="shared" si="224"/>
        <v>142.89739999999998</v>
      </c>
      <c r="K43" s="348"/>
      <c r="L43" s="348"/>
      <c r="M43" s="348">
        <f t="shared" si="224"/>
        <v>173.19000000000003</v>
      </c>
      <c r="N43" s="348"/>
      <c r="O43" s="349"/>
      <c r="P43" s="347">
        <f t="shared" si="224"/>
        <v>136.0250000028</v>
      </c>
      <c r="Q43" s="348"/>
      <c r="R43" s="348"/>
      <c r="S43" s="348">
        <f t="shared" si="224"/>
        <v>693.76</v>
      </c>
      <c r="T43" s="348"/>
      <c r="U43" s="349"/>
      <c r="V43" s="350"/>
      <c r="W43" s="350"/>
      <c r="X43" s="350"/>
      <c r="Y43" s="350"/>
      <c r="Z43" s="347">
        <f t="shared" si="224"/>
        <v>245814.44</v>
      </c>
      <c r="AA43" s="348"/>
      <c r="AB43" s="348"/>
      <c r="AC43" s="348">
        <f t="shared" si="224"/>
        <v>140616</v>
      </c>
      <c r="AD43" s="348"/>
      <c r="AE43" s="349"/>
      <c r="AF43" s="347">
        <f>SUM(AF13:AF42)</f>
        <v>928</v>
      </c>
      <c r="AG43" s="348"/>
      <c r="AH43" s="348"/>
      <c r="AI43" s="348">
        <f>SUM(AI13:AI42)</f>
        <v>994.44999999999993</v>
      </c>
      <c r="AJ43" s="348"/>
      <c r="AK43" s="349"/>
      <c r="AL43" s="347">
        <f>SUM(AL13:AL42)</f>
        <v>953.07375000000002</v>
      </c>
      <c r="AM43" s="348"/>
      <c r="AN43" s="348"/>
      <c r="AO43" s="348"/>
      <c r="AP43" s="348"/>
      <c r="AQ43" s="349"/>
      <c r="AR43" s="350"/>
      <c r="AS43" s="350"/>
      <c r="AT43" s="350"/>
      <c r="AU43" s="350"/>
      <c r="AV43" s="347">
        <f t="shared" si="224"/>
        <v>19856.168258633359</v>
      </c>
      <c r="AW43" s="348"/>
      <c r="AX43" s="348"/>
      <c r="AY43" s="348">
        <v>0</v>
      </c>
      <c r="AZ43" s="348"/>
      <c r="BA43" s="349"/>
      <c r="BB43" s="347">
        <f t="shared" si="224"/>
        <v>658.84652806737506</v>
      </c>
      <c r="BC43" s="348"/>
      <c r="BD43" s="348"/>
      <c r="BE43" s="348">
        <f t="shared" si="224"/>
        <v>773.55600000000004</v>
      </c>
      <c r="BF43" s="348"/>
      <c r="BG43" s="349"/>
      <c r="BH43" s="347">
        <f t="shared" si="224"/>
        <v>1176.9509740425533</v>
      </c>
      <c r="BI43" s="348"/>
      <c r="BJ43" s="348"/>
      <c r="BK43" s="348">
        <f t="shared" si="224"/>
        <v>1148.068</v>
      </c>
      <c r="BL43" s="348"/>
      <c r="BM43" s="349"/>
      <c r="BN43" s="350"/>
      <c r="BO43" s="350"/>
      <c r="BP43" s="350"/>
      <c r="BQ43" s="350"/>
      <c r="BR43" s="347">
        <f t="shared" si="224"/>
        <v>1094000</v>
      </c>
      <c r="BS43" s="348"/>
      <c r="BT43" s="348"/>
      <c r="BU43" s="348">
        <f t="shared" si="224"/>
        <v>1511026</v>
      </c>
      <c r="BV43" s="348"/>
      <c r="BW43" s="349"/>
      <c r="BX43" s="347">
        <f t="shared" si="224"/>
        <v>17305.801187999998</v>
      </c>
      <c r="BY43" s="348"/>
      <c r="BZ43" s="348"/>
      <c r="CA43" s="348">
        <f t="shared" si="224"/>
        <v>17995.5</v>
      </c>
      <c r="CB43" s="348"/>
      <c r="CC43" s="349"/>
      <c r="CD43" s="347">
        <f>SUM(CD13:CD42)</f>
        <v>90.239999999999981</v>
      </c>
      <c r="CE43" s="348"/>
      <c r="CF43" s="348"/>
      <c r="CG43" s="348">
        <f t="shared" si="224"/>
        <v>115.83999999999999</v>
      </c>
      <c r="CH43" s="348"/>
      <c r="CI43" s="349"/>
      <c r="CJ43" s="350"/>
      <c r="CK43" s="350"/>
      <c r="CL43" s="350"/>
      <c r="CM43" s="350"/>
      <c r="CN43" s="347">
        <f t="shared" si="224"/>
        <v>55240</v>
      </c>
      <c r="CO43" s="348"/>
      <c r="CP43" s="348"/>
      <c r="CQ43" s="348">
        <f t="shared" si="224"/>
        <v>79825.268512914889</v>
      </c>
      <c r="CR43" s="348"/>
      <c r="CS43" s="349"/>
      <c r="CT43" s="347">
        <f t="shared" si="224"/>
        <v>754.55463886540088</v>
      </c>
      <c r="CU43" s="348"/>
      <c r="CV43" s="348"/>
      <c r="CW43" s="348">
        <f t="shared" si="224"/>
        <v>1156.49494</v>
      </c>
      <c r="CX43" s="348"/>
      <c r="CY43" s="349"/>
      <c r="CZ43" s="347">
        <f t="shared" si="224"/>
        <v>400.29544736842098</v>
      </c>
      <c r="DA43" s="348"/>
      <c r="DB43" s="348"/>
      <c r="DC43" s="348">
        <f t="shared" si="224"/>
        <v>719.89</v>
      </c>
      <c r="DD43" s="348"/>
      <c r="DE43" s="350"/>
      <c r="DF43" s="350"/>
      <c r="DG43" s="350"/>
      <c r="DH43" s="350"/>
      <c r="DI43" s="350"/>
      <c r="DJ43" s="788" t="s">
        <v>665</v>
      </c>
      <c r="DK43" s="789"/>
      <c r="DL43" s="351"/>
      <c r="DM43" s="351"/>
      <c r="DN43" s="352"/>
      <c r="DO43" s="454"/>
      <c r="DP43" s="455"/>
    </row>
    <row r="44" spans="2:121" s="445" customFormat="1">
      <c r="B44" s="758" t="s">
        <v>112</v>
      </c>
      <c r="C44" s="759"/>
      <c r="D44" s="353">
        <f>MIN(D13:D42)</f>
        <v>0</v>
      </c>
      <c r="E44" s="354"/>
      <c r="F44" s="354"/>
      <c r="G44" s="354">
        <f t="shared" ref="G44:DC44" si="225">MIN(G13:G42)</f>
        <v>0</v>
      </c>
      <c r="H44" s="354"/>
      <c r="I44" s="355"/>
      <c r="J44" s="353">
        <f t="shared" si="225"/>
        <v>0</v>
      </c>
      <c r="K44" s="354"/>
      <c r="L44" s="354"/>
      <c r="M44" s="354">
        <f t="shared" si="225"/>
        <v>0</v>
      </c>
      <c r="N44" s="354"/>
      <c r="O44" s="355"/>
      <c r="P44" s="353">
        <f t="shared" si="225"/>
        <v>0</v>
      </c>
      <c r="Q44" s="354"/>
      <c r="R44" s="354"/>
      <c r="S44" s="354">
        <f t="shared" si="225"/>
        <v>0</v>
      </c>
      <c r="T44" s="354"/>
      <c r="U44" s="355"/>
      <c r="V44" s="354"/>
      <c r="W44" s="354"/>
      <c r="X44" s="354"/>
      <c r="Y44" s="354"/>
      <c r="Z44" s="353">
        <f t="shared" si="225"/>
        <v>0</v>
      </c>
      <c r="AA44" s="354"/>
      <c r="AB44" s="354"/>
      <c r="AC44" s="354">
        <f t="shared" si="225"/>
        <v>0</v>
      </c>
      <c r="AD44" s="354"/>
      <c r="AE44" s="355"/>
      <c r="AF44" s="353">
        <f>MIN(AF13:AF42)</f>
        <v>0</v>
      </c>
      <c r="AG44" s="354"/>
      <c r="AH44" s="354"/>
      <c r="AI44" s="354">
        <f>MIN(AI13:AI42)</f>
        <v>0</v>
      </c>
      <c r="AJ44" s="354"/>
      <c r="AK44" s="355"/>
      <c r="AL44" s="353">
        <f>MIN(AL13:AL42)</f>
        <v>0</v>
      </c>
      <c r="AM44" s="354"/>
      <c r="AN44" s="354"/>
      <c r="AO44" s="354"/>
      <c r="AP44" s="354"/>
      <c r="AQ44" s="355"/>
      <c r="AR44" s="354"/>
      <c r="AS44" s="354"/>
      <c r="AT44" s="354"/>
      <c r="AU44" s="354"/>
      <c r="AV44" s="353">
        <f t="shared" si="225"/>
        <v>0</v>
      </c>
      <c r="AW44" s="354"/>
      <c r="AX44" s="354"/>
      <c r="AY44" s="354">
        <v>0</v>
      </c>
      <c r="AZ44" s="354"/>
      <c r="BA44" s="355"/>
      <c r="BB44" s="353">
        <f t="shared" si="225"/>
        <v>0</v>
      </c>
      <c r="BC44" s="354"/>
      <c r="BD44" s="354"/>
      <c r="BE44" s="354">
        <f t="shared" si="225"/>
        <v>0</v>
      </c>
      <c r="BF44" s="354"/>
      <c r="BG44" s="355"/>
      <c r="BH44" s="353">
        <f t="shared" si="225"/>
        <v>0</v>
      </c>
      <c r="BI44" s="354"/>
      <c r="BJ44" s="354"/>
      <c r="BK44" s="354">
        <f t="shared" si="225"/>
        <v>0</v>
      </c>
      <c r="BL44" s="354"/>
      <c r="BM44" s="355"/>
      <c r="BN44" s="354"/>
      <c r="BO44" s="354"/>
      <c r="BP44" s="354"/>
      <c r="BQ44" s="354"/>
      <c r="BR44" s="353">
        <f t="shared" si="225"/>
        <v>0</v>
      </c>
      <c r="BS44" s="354"/>
      <c r="BT44" s="354"/>
      <c r="BU44" s="354">
        <f t="shared" si="225"/>
        <v>0</v>
      </c>
      <c r="BV44" s="354"/>
      <c r="BW44" s="355"/>
      <c r="BX44" s="353">
        <f t="shared" si="225"/>
        <v>0</v>
      </c>
      <c r="BY44" s="354"/>
      <c r="BZ44" s="354"/>
      <c r="CA44" s="354">
        <f t="shared" si="225"/>
        <v>0</v>
      </c>
      <c r="CB44" s="354"/>
      <c r="CC44" s="355"/>
      <c r="CD44" s="353">
        <f t="shared" si="225"/>
        <v>0</v>
      </c>
      <c r="CE44" s="354"/>
      <c r="CF44" s="354"/>
      <c r="CG44" s="354">
        <f t="shared" si="225"/>
        <v>0</v>
      </c>
      <c r="CH44" s="354"/>
      <c r="CI44" s="355"/>
      <c r="CJ44" s="354"/>
      <c r="CK44" s="354"/>
      <c r="CL44" s="354"/>
      <c r="CM44" s="354"/>
      <c r="CN44" s="353">
        <f t="shared" si="225"/>
        <v>0</v>
      </c>
      <c r="CO44" s="354"/>
      <c r="CP44" s="354"/>
      <c r="CQ44" s="354">
        <f t="shared" si="225"/>
        <v>0</v>
      </c>
      <c r="CR44" s="354"/>
      <c r="CS44" s="355"/>
      <c r="CT44" s="353">
        <f>MIN(CT13:CT42)</f>
        <v>0</v>
      </c>
      <c r="CU44" s="354"/>
      <c r="CV44" s="354"/>
      <c r="CW44" s="354">
        <f t="shared" si="225"/>
        <v>0</v>
      </c>
      <c r="CX44" s="354"/>
      <c r="CY44" s="355"/>
      <c r="CZ44" s="353">
        <f t="shared" si="225"/>
        <v>0</v>
      </c>
      <c r="DA44" s="354"/>
      <c r="DB44" s="354"/>
      <c r="DC44" s="354">
        <f t="shared" si="225"/>
        <v>0</v>
      </c>
      <c r="DD44" s="354"/>
      <c r="DE44" s="354"/>
      <c r="DF44" s="354"/>
      <c r="DG44" s="354"/>
      <c r="DH44" s="354"/>
      <c r="DI44" s="354"/>
      <c r="DJ44" s="790"/>
      <c r="DK44" s="791"/>
      <c r="DL44" s="356"/>
      <c r="DM44" s="356"/>
      <c r="DN44" s="357"/>
      <c r="DO44" s="456"/>
    </row>
    <row r="45" spans="2:121" s="445" customFormat="1">
      <c r="B45" s="760" t="s">
        <v>113</v>
      </c>
      <c r="C45" s="761"/>
      <c r="D45" s="358">
        <f>MAX(D13:D42)</f>
        <v>3500</v>
      </c>
      <c r="E45" s="359"/>
      <c r="F45" s="359"/>
      <c r="G45" s="359">
        <f t="shared" ref="G45:DC45" si="226">MAX(G13:G42)</f>
        <v>4000</v>
      </c>
      <c r="H45" s="359"/>
      <c r="I45" s="360"/>
      <c r="J45" s="361">
        <f t="shared" si="226"/>
        <v>120.9974</v>
      </c>
      <c r="K45" s="359"/>
      <c r="L45" s="359"/>
      <c r="M45" s="359">
        <f t="shared" si="226"/>
        <v>138.9</v>
      </c>
      <c r="N45" s="359"/>
      <c r="O45" s="360"/>
      <c r="P45" s="361">
        <f t="shared" si="226"/>
        <v>117.77500000250002</v>
      </c>
      <c r="Q45" s="359"/>
      <c r="R45" s="359"/>
      <c r="S45" s="359">
        <f t="shared" si="226"/>
        <v>547.29999999999995</v>
      </c>
      <c r="T45" s="359"/>
      <c r="U45" s="360"/>
      <c r="V45" s="359"/>
      <c r="W45" s="359"/>
      <c r="X45" s="359"/>
      <c r="Y45" s="359"/>
      <c r="Z45" s="361">
        <f t="shared" si="226"/>
        <v>90000</v>
      </c>
      <c r="AA45" s="359"/>
      <c r="AB45" s="359"/>
      <c r="AC45" s="359">
        <f t="shared" si="226"/>
        <v>74000</v>
      </c>
      <c r="AD45" s="359"/>
      <c r="AE45" s="360"/>
      <c r="AF45" s="361">
        <f>MAX(AF13:AF42)</f>
        <v>820</v>
      </c>
      <c r="AG45" s="359"/>
      <c r="AH45" s="359"/>
      <c r="AI45" s="359">
        <f>MAX(AI13:AI42)</f>
        <v>850</v>
      </c>
      <c r="AJ45" s="359"/>
      <c r="AK45" s="360"/>
      <c r="AL45" s="361">
        <f>MAX(AL13:AL42)</f>
        <v>820.33</v>
      </c>
      <c r="AM45" s="359"/>
      <c r="AN45" s="359"/>
      <c r="AO45" s="359"/>
      <c r="AP45" s="359"/>
      <c r="AQ45" s="360"/>
      <c r="AR45" s="359"/>
      <c r="AS45" s="359"/>
      <c r="AT45" s="359"/>
      <c r="AU45" s="359"/>
      <c r="AV45" s="361">
        <f t="shared" si="226"/>
        <v>9200</v>
      </c>
      <c r="AW45" s="359"/>
      <c r="AX45" s="359"/>
      <c r="AY45" s="359">
        <v>0</v>
      </c>
      <c r="AZ45" s="359"/>
      <c r="BA45" s="360"/>
      <c r="BB45" s="361">
        <f t="shared" si="226"/>
        <v>263.89119592500009</v>
      </c>
      <c r="BC45" s="359"/>
      <c r="BD45" s="359"/>
      <c r="BE45" s="359">
        <f t="shared" si="226"/>
        <v>319.58999999999997</v>
      </c>
      <c r="BF45" s="359"/>
      <c r="BG45" s="360"/>
      <c r="BH45" s="361">
        <f t="shared" si="226"/>
        <v>812.7628825531915</v>
      </c>
      <c r="BI45" s="359"/>
      <c r="BJ45" s="359"/>
      <c r="BK45" s="359">
        <f t="shared" si="226"/>
        <v>807.12199999999996</v>
      </c>
      <c r="BL45" s="359"/>
      <c r="BM45" s="360"/>
      <c r="BN45" s="359"/>
      <c r="BO45" s="359"/>
      <c r="BP45" s="359"/>
      <c r="BQ45" s="359"/>
      <c r="BR45" s="361">
        <f t="shared" si="226"/>
        <v>640000</v>
      </c>
      <c r="BS45" s="359"/>
      <c r="BT45" s="359"/>
      <c r="BU45" s="359">
        <f t="shared" si="226"/>
        <v>640000</v>
      </c>
      <c r="BV45" s="359"/>
      <c r="BW45" s="360"/>
      <c r="BX45" s="361">
        <f t="shared" si="226"/>
        <v>7407.5834000000004</v>
      </c>
      <c r="BY45" s="359"/>
      <c r="BZ45" s="359"/>
      <c r="CA45" s="359">
        <f t="shared" si="226"/>
        <v>7612</v>
      </c>
      <c r="CB45" s="359"/>
      <c r="CC45" s="360"/>
      <c r="CD45" s="361">
        <f t="shared" si="226"/>
        <v>84.32</v>
      </c>
      <c r="CE45" s="359"/>
      <c r="CF45" s="359"/>
      <c r="CG45" s="359">
        <f t="shared" si="226"/>
        <v>106.72</v>
      </c>
      <c r="CH45" s="359"/>
      <c r="CI45" s="360"/>
      <c r="CJ45" s="359"/>
      <c r="CK45" s="359"/>
      <c r="CL45" s="359"/>
      <c r="CM45" s="359"/>
      <c r="CN45" s="361">
        <f t="shared" si="226"/>
        <v>21000</v>
      </c>
      <c r="CO45" s="359"/>
      <c r="CP45" s="359"/>
      <c r="CQ45" s="359">
        <f t="shared" si="226"/>
        <v>21381.0645</v>
      </c>
      <c r="CR45" s="359"/>
      <c r="CS45" s="360"/>
      <c r="CT45" s="361">
        <f>MAX(CT13:CT42)</f>
        <v>165.85918626368999</v>
      </c>
      <c r="CU45" s="359"/>
      <c r="CV45" s="359"/>
      <c r="CW45" s="359">
        <f t="shared" si="226"/>
        <v>301.52999999999997</v>
      </c>
      <c r="CX45" s="359"/>
      <c r="CY45" s="360"/>
      <c r="CZ45" s="361">
        <f t="shared" si="226"/>
        <v>218.02199999999999</v>
      </c>
      <c r="DA45" s="359"/>
      <c r="DB45" s="359"/>
      <c r="DC45" s="359">
        <f t="shared" si="226"/>
        <v>515.38</v>
      </c>
      <c r="DD45" s="359"/>
      <c r="DE45" s="359"/>
      <c r="DF45" s="359"/>
      <c r="DG45" s="359"/>
      <c r="DH45" s="359"/>
      <c r="DI45" s="359"/>
      <c r="DJ45" s="792"/>
      <c r="DK45" s="793"/>
      <c r="DL45" s="356"/>
      <c r="DM45" s="356"/>
      <c r="DN45" s="357"/>
      <c r="DO45" s="457"/>
      <c r="DP45" s="458"/>
    </row>
    <row r="46" spans="2:121" s="445" customFormat="1" ht="14.1" customHeight="1">
      <c r="B46" s="762" t="s">
        <v>348</v>
      </c>
      <c r="C46" s="459">
        <v>1</v>
      </c>
      <c r="D46" s="460">
        <v>0</v>
      </c>
      <c r="E46" s="461">
        <v>0</v>
      </c>
      <c r="F46" s="462">
        <f>IF(E46="",D46,E46)</f>
        <v>0</v>
      </c>
      <c r="G46" s="460">
        <v>0</v>
      </c>
      <c r="H46" s="462"/>
      <c r="I46" s="462">
        <f>IF(H46="",G46,H46)</f>
        <v>0</v>
      </c>
      <c r="J46" s="463">
        <v>0</v>
      </c>
      <c r="K46" s="464"/>
      <c r="L46" s="462">
        <f>IF(K46="",J46,K46)</f>
        <v>0</v>
      </c>
      <c r="M46" s="465">
        <v>0</v>
      </c>
      <c r="N46" s="466"/>
      <c r="O46" s="462">
        <f>IF(N46="",M46,N46)</f>
        <v>0</v>
      </c>
      <c r="P46" s="463">
        <v>0</v>
      </c>
      <c r="Q46" s="464"/>
      <c r="R46" s="462">
        <f>IF(Q46="",P46,Q46)</f>
        <v>0</v>
      </c>
      <c r="S46" s="465">
        <v>0</v>
      </c>
      <c r="T46" s="466"/>
      <c r="U46" s="462">
        <f>IF(T46="",S46,T46)</f>
        <v>0</v>
      </c>
      <c r="V46" s="462"/>
      <c r="W46" s="462"/>
      <c r="X46" s="462"/>
      <c r="Y46" s="462"/>
      <c r="Z46" s="460">
        <v>0</v>
      </c>
      <c r="AA46" s="467"/>
      <c r="AB46" s="462">
        <f>IF(AA46="",Z46,AA46)</f>
        <v>0</v>
      </c>
      <c r="AC46" s="460">
        <v>0</v>
      </c>
      <c r="AD46" s="462"/>
      <c r="AE46" s="462">
        <f>IF(AD46="",AC46,AD46)</f>
        <v>0</v>
      </c>
      <c r="AF46" s="463">
        <v>0</v>
      </c>
      <c r="AG46" s="464"/>
      <c r="AH46" s="462">
        <f>IF(AG46="",AF46,AG46)</f>
        <v>0</v>
      </c>
      <c r="AI46" s="465">
        <v>0</v>
      </c>
      <c r="AJ46" s="466"/>
      <c r="AK46" s="462">
        <f>IF(AJ46="",AI46,AJ46)</f>
        <v>0</v>
      </c>
      <c r="AL46" s="463">
        <v>0</v>
      </c>
      <c r="AM46" s="468">
        <v>0</v>
      </c>
      <c r="AN46" s="462">
        <f>IF(AM46="",AL46,AM46)</f>
        <v>0</v>
      </c>
      <c r="AO46" s="465"/>
      <c r="AP46" s="466"/>
      <c r="AQ46" s="469"/>
      <c r="AR46" s="462"/>
      <c r="AS46" s="462"/>
      <c r="AT46" s="462"/>
      <c r="AU46" s="462"/>
      <c r="AV46" s="460">
        <v>0</v>
      </c>
      <c r="AW46" s="467"/>
      <c r="AX46" s="462">
        <f>IF(AW46="",AV46,AW46)</f>
        <v>0</v>
      </c>
      <c r="AY46" s="460">
        <v>0</v>
      </c>
      <c r="AZ46" s="462"/>
      <c r="BA46" s="462">
        <f>IF(AZ46="",AY46,AZ46)</f>
        <v>0</v>
      </c>
      <c r="BB46" s="463">
        <v>0</v>
      </c>
      <c r="BC46" s="468">
        <v>0</v>
      </c>
      <c r="BD46" s="470">
        <f>IF(BC46="",BB46,BC46)</f>
        <v>0</v>
      </c>
      <c r="BE46" s="465">
        <v>0</v>
      </c>
      <c r="BF46" s="466"/>
      <c r="BG46" s="462">
        <f>IF(BF46="",BE46,BF46)</f>
        <v>0</v>
      </c>
      <c r="BH46" s="463">
        <v>0</v>
      </c>
      <c r="BI46" s="464"/>
      <c r="BJ46" s="462">
        <f>IF(BI46="",BH46,BI46)</f>
        <v>0</v>
      </c>
      <c r="BK46" s="465">
        <v>0</v>
      </c>
      <c r="BL46" s="466"/>
      <c r="BM46" s="462">
        <f>IF(BL46="",BK46,BL46)</f>
        <v>0</v>
      </c>
      <c r="BN46" s="462"/>
      <c r="BO46" s="462"/>
      <c r="BP46" s="462"/>
      <c r="BQ46" s="462"/>
      <c r="BR46" s="460">
        <v>0</v>
      </c>
      <c r="BS46" s="467"/>
      <c r="BT46" s="462">
        <f>IF(BS46="",BR46,BS46)</f>
        <v>0</v>
      </c>
      <c r="BU46" s="460">
        <v>0</v>
      </c>
      <c r="BV46" s="462"/>
      <c r="BW46" s="462">
        <f>IF(BV46="",BU46,BV46)</f>
        <v>0</v>
      </c>
      <c r="BX46" s="460">
        <v>0</v>
      </c>
      <c r="BY46" s="467"/>
      <c r="BZ46" s="462">
        <f>IF(BY46="",BX46,BY46)</f>
        <v>0</v>
      </c>
      <c r="CA46" s="460">
        <v>0</v>
      </c>
      <c r="CB46" s="462"/>
      <c r="CC46" s="462">
        <f>IF(CB46="",CA46,CB46)</f>
        <v>0</v>
      </c>
      <c r="CD46" s="463">
        <v>0</v>
      </c>
      <c r="CE46" s="464"/>
      <c r="CF46" s="462">
        <f>IF(CE46="",CD46,CE46)</f>
        <v>0</v>
      </c>
      <c r="CG46" s="465">
        <v>0</v>
      </c>
      <c r="CH46" s="466"/>
      <c r="CI46" s="462">
        <f>IF(CH46="",CG46,CH46)</f>
        <v>0</v>
      </c>
      <c r="CJ46" s="462"/>
      <c r="CK46" s="462"/>
      <c r="CL46" s="462"/>
      <c r="CM46" s="462"/>
      <c r="CN46" s="460">
        <v>0</v>
      </c>
      <c r="CO46" s="467"/>
      <c r="CP46" s="462">
        <f>IF(CO46="",CN46,CO46)</f>
        <v>0</v>
      </c>
      <c r="CQ46" s="460">
        <v>0</v>
      </c>
      <c r="CR46" s="462"/>
      <c r="CS46" s="462">
        <f>IF(CR46="",CQ46,CR46)</f>
        <v>0</v>
      </c>
      <c r="CT46" s="463">
        <v>0</v>
      </c>
      <c r="CU46" s="468">
        <v>0</v>
      </c>
      <c r="CV46" s="462">
        <f>IF(CU46="",CT46,CU46)</f>
        <v>0</v>
      </c>
      <c r="CW46" s="465">
        <v>0</v>
      </c>
      <c r="CX46" s="466"/>
      <c r="CY46" s="462">
        <f>IF(CX46="",CW46,CX46)</f>
        <v>0</v>
      </c>
      <c r="CZ46" s="463">
        <v>0</v>
      </c>
      <c r="DA46" s="464"/>
      <c r="DB46" s="462">
        <f>IF(DA46="",CZ46,DA46)</f>
        <v>0</v>
      </c>
      <c r="DC46" s="465">
        <v>0</v>
      </c>
      <c r="DD46" s="466"/>
      <c r="DE46" s="462">
        <f>IF(DD46="",DC46,DD46)</f>
        <v>0</v>
      </c>
      <c r="DF46" s="462"/>
      <c r="DG46" s="462"/>
      <c r="DH46" s="462"/>
      <c r="DI46" s="462"/>
      <c r="DJ46" s="763" t="s">
        <v>349</v>
      </c>
      <c r="DK46" s="764"/>
      <c r="DL46" s="764"/>
      <c r="DM46" s="764"/>
      <c r="DN46" s="765"/>
    </row>
    <row r="47" spans="2:121" s="445" customFormat="1" ht="14.1" customHeight="1">
      <c r="B47" s="762"/>
      <c r="C47" s="459">
        <v>2</v>
      </c>
      <c r="D47" s="460">
        <f t="shared" ref="D47:G47" si="227">_xlfn.PERCENTILE.EXC(_xlfn.ANCHORARRAY(D54),0.2)</f>
        <v>11.8</v>
      </c>
      <c r="E47" s="461">
        <v>10</v>
      </c>
      <c r="F47" s="462">
        <f t="shared" ref="F47:F50" si="228">IF(E47="",D47,E47)</f>
        <v>10</v>
      </c>
      <c r="G47" s="460">
        <f t="shared" si="227"/>
        <v>10</v>
      </c>
      <c r="H47" s="462"/>
      <c r="I47" s="462">
        <f t="shared" ref="I47:I50" si="229">IF(H47="",G47,H47)</f>
        <v>10</v>
      </c>
      <c r="J47" s="471">
        <f>_xlfn.PERCENTILE.EXC(_xlfn.ANCHORARRAY(J54),0.2)</f>
        <v>0.5</v>
      </c>
      <c r="K47" s="464"/>
      <c r="L47" s="462">
        <f t="shared" ref="L47:L50" si="230">IF(K47="",J47,K47)</f>
        <v>0.5</v>
      </c>
      <c r="M47" s="465">
        <f t="shared" ref="M47:CG47" si="231">_xlfn.PERCENTILE.EXC(_xlfn.ANCHORARRAY(M54),0.2)</f>
        <v>0.42400000000000004</v>
      </c>
      <c r="N47" s="466"/>
      <c r="O47" s="462">
        <f t="shared" ref="O47:O50" si="232">IF(N47="",M47,N47)</f>
        <v>0.42400000000000004</v>
      </c>
      <c r="P47" s="471">
        <f t="shared" si="231"/>
        <v>0.16000000000000006</v>
      </c>
      <c r="Q47" s="464"/>
      <c r="R47" s="462">
        <f t="shared" ref="R47:R50" si="233">IF(Q47="",P47,Q47)</f>
        <v>0.16000000000000006</v>
      </c>
      <c r="S47" s="465">
        <f t="shared" si="231"/>
        <v>1.4640000000000002</v>
      </c>
      <c r="T47" s="466"/>
      <c r="U47" s="462">
        <f>IF(T47="",S47,T47)</f>
        <v>1.4640000000000002</v>
      </c>
      <c r="V47" s="462"/>
      <c r="W47" s="462"/>
      <c r="X47" s="462"/>
      <c r="Y47" s="462"/>
      <c r="Z47" s="460">
        <f t="shared" si="231"/>
        <v>28.614000000000004</v>
      </c>
      <c r="AA47" s="467"/>
      <c r="AB47" s="462">
        <f t="shared" ref="AB47:AB50" si="234">IF(AA47="",Z47,AA47)</f>
        <v>28.614000000000004</v>
      </c>
      <c r="AC47" s="460">
        <f t="shared" si="231"/>
        <v>29.000000000000007</v>
      </c>
      <c r="AD47" s="462"/>
      <c r="AE47" s="462">
        <f t="shared" ref="AE47:AE50" si="235">IF(AD47="",AC47,AD47)</f>
        <v>29.000000000000007</v>
      </c>
      <c r="AF47" s="471">
        <f t="shared" si="231"/>
        <v>0.78000000000000047</v>
      </c>
      <c r="AG47" s="464"/>
      <c r="AH47" s="462">
        <f t="shared" ref="AH47:AH50" si="236">IF(AG47="",AF47,AG47)</f>
        <v>0.78000000000000047</v>
      </c>
      <c r="AI47" s="465">
        <f t="shared" si="231"/>
        <v>0.58000000000000029</v>
      </c>
      <c r="AJ47" s="466"/>
      <c r="AK47" s="462">
        <f t="shared" ref="AK47:AK50" si="237">IF(AJ47="",AI47,AJ47)</f>
        <v>0.58000000000000029</v>
      </c>
      <c r="AL47" s="471">
        <f t="shared" si="231"/>
        <v>0.11000000000000001</v>
      </c>
      <c r="AM47" s="468">
        <v>0.24000000000000007</v>
      </c>
      <c r="AN47" s="462">
        <f t="shared" ref="AN47:AN50" si="238">IF(AM47="",AL47,AM47)</f>
        <v>0.24000000000000007</v>
      </c>
      <c r="AO47" s="465"/>
      <c r="AP47" s="466"/>
      <c r="AQ47" s="472"/>
      <c r="AR47" s="462"/>
      <c r="AS47" s="462"/>
      <c r="AT47" s="462"/>
      <c r="AU47" s="462"/>
      <c r="AV47" s="460">
        <f t="shared" si="231"/>
        <v>77.983835415135957</v>
      </c>
      <c r="AW47" s="467"/>
      <c r="AX47" s="462">
        <f t="shared" ref="AX47:AX50" si="239">IF(AW47="",AV47,AW47)</f>
        <v>77.983835415135957</v>
      </c>
      <c r="AY47" s="460">
        <f t="shared" si="231"/>
        <v>56</v>
      </c>
      <c r="AZ47" s="462"/>
      <c r="BA47" s="462">
        <f t="shared" ref="BA47:BA50" si="240">IF(AZ47="",AY47,AZ47)</f>
        <v>56</v>
      </c>
      <c r="BB47" s="471">
        <f t="shared" si="231"/>
        <v>1.2309107040000002</v>
      </c>
      <c r="BC47" s="468">
        <v>0.54000000000000015</v>
      </c>
      <c r="BD47" s="470">
        <f t="shared" ref="BD47:BD50" si="241">IF(BC47="",BB47,BC47)</f>
        <v>0.54000000000000015</v>
      </c>
      <c r="BE47" s="465">
        <f t="shared" si="231"/>
        <v>1.5592000000000001</v>
      </c>
      <c r="BF47" s="466"/>
      <c r="BG47" s="462">
        <f t="shared" ref="BG47:BG50" si="242">IF(BF47="",BE47,BF47)</f>
        <v>1.5592000000000001</v>
      </c>
      <c r="BH47" s="471">
        <f t="shared" si="231"/>
        <v>0.5</v>
      </c>
      <c r="BI47" s="464"/>
      <c r="BJ47" s="462">
        <f t="shared" ref="BJ47:BJ50" si="243">IF(BI47="",BH47,BI47)</f>
        <v>0.5</v>
      </c>
      <c r="BK47" s="465">
        <f t="shared" si="231"/>
        <v>0.8550000000000002</v>
      </c>
      <c r="BL47" s="466"/>
      <c r="BM47" s="462">
        <f t="shared" ref="BM47:BM50" si="244">IF(BL47="",BK47,BL47)</f>
        <v>0.8550000000000002</v>
      </c>
      <c r="BN47" s="462"/>
      <c r="BO47" s="462"/>
      <c r="BP47" s="462"/>
      <c r="BQ47" s="462"/>
      <c r="BR47" s="460">
        <f t="shared" si="231"/>
        <v>3000.0000000000005</v>
      </c>
      <c r="BS47" s="467"/>
      <c r="BT47" s="462">
        <f t="shared" ref="BT47:BT50" si="245">IF(BS47="",BR47,BS47)</f>
        <v>3000.0000000000005</v>
      </c>
      <c r="BU47" s="460">
        <f t="shared" si="231"/>
        <v>1927</v>
      </c>
      <c r="BV47" s="462"/>
      <c r="BW47" s="462">
        <f t="shared" ref="BW47:BW50" si="246">IF(BV47="",BU47,BV47)</f>
        <v>1927</v>
      </c>
      <c r="BX47" s="460">
        <f t="shared" si="231"/>
        <v>49.616000000000014</v>
      </c>
      <c r="BY47" s="467"/>
      <c r="BZ47" s="462">
        <f t="shared" ref="BZ47:BZ50" si="247">IF(BY47="",BX47,BY47)</f>
        <v>49.616000000000014</v>
      </c>
      <c r="CA47" s="460">
        <f t="shared" si="231"/>
        <v>72.740000000000038</v>
      </c>
      <c r="CB47" s="462"/>
      <c r="CC47" s="462">
        <f t="shared" ref="CC47:CC50" si="248">IF(CB47="",CA47,CB47)</f>
        <v>72.740000000000038</v>
      </c>
      <c r="CD47" s="471">
        <f t="shared" si="231"/>
        <v>6.4000000000000057E-2</v>
      </c>
      <c r="CE47" s="464"/>
      <c r="CF47" s="462">
        <f t="shared" ref="CF47:CF50" si="249">IF(CE47="",CD47,CE47)</f>
        <v>6.4000000000000057E-2</v>
      </c>
      <c r="CG47" s="465">
        <f t="shared" si="231"/>
        <v>6.4000000000000057E-2</v>
      </c>
      <c r="CH47" s="466"/>
      <c r="CI47" s="462">
        <f t="shared" ref="CI47:CI50" si="250">IF(CH47="",CG47,CH47)</f>
        <v>6.4000000000000057E-2</v>
      </c>
      <c r="CJ47" s="462"/>
      <c r="CK47" s="462"/>
      <c r="CL47" s="462"/>
      <c r="CM47" s="462"/>
      <c r="CN47" s="460">
        <f t="shared" ref="CN47:DC47" si="251">_xlfn.PERCENTILE.EXC(_xlfn.ANCHORARRAY(CN54),0.2)</f>
        <v>272</v>
      </c>
      <c r="CO47" s="467"/>
      <c r="CP47" s="462">
        <f t="shared" ref="CP47:CP50" si="252">IF(CO47="",CN47,CO47)</f>
        <v>272</v>
      </c>
      <c r="CQ47" s="460">
        <f t="shared" si="251"/>
        <v>479.80800000000011</v>
      </c>
      <c r="CR47" s="462"/>
      <c r="CS47" s="462">
        <f t="shared" ref="CS47:CS50" si="253">IF(CR47="",CQ47,CR47)</f>
        <v>479.80800000000011</v>
      </c>
      <c r="CT47" s="471">
        <f t="shared" si="251"/>
        <v>6.160000000000001</v>
      </c>
      <c r="CU47" s="468">
        <v>10.039999999999999</v>
      </c>
      <c r="CV47" s="462">
        <f t="shared" ref="CV47:CV50" si="254">IF(CU47="",CT47,CU47)</f>
        <v>10.039999999999999</v>
      </c>
      <c r="CW47" s="465">
        <f t="shared" si="251"/>
        <v>0.88000000000000012</v>
      </c>
      <c r="CX47" s="466"/>
      <c r="CY47" s="462">
        <f t="shared" ref="CY47:CY50" si="255">IF(CX47="",CW47,CX47)</f>
        <v>0.88000000000000012</v>
      </c>
      <c r="CZ47" s="471">
        <f t="shared" si="251"/>
        <v>4.32</v>
      </c>
      <c r="DA47" s="464"/>
      <c r="DB47" s="462">
        <f t="shared" ref="DB47:DB50" si="256">IF(DA47="",CZ47,DA47)</f>
        <v>4.32</v>
      </c>
      <c r="DC47" s="465">
        <f t="shared" si="251"/>
        <v>8.16</v>
      </c>
      <c r="DD47" s="466"/>
      <c r="DE47" s="462">
        <f t="shared" ref="DE47:DE50" si="257">IF(DD47="",DC47,DD47)</f>
        <v>8.16</v>
      </c>
      <c r="DF47" s="462"/>
      <c r="DG47" s="462"/>
      <c r="DH47" s="462"/>
      <c r="DI47" s="462"/>
      <c r="DJ47" s="766"/>
      <c r="DK47" s="767"/>
      <c r="DL47" s="767"/>
      <c r="DM47" s="767"/>
      <c r="DN47" s="768"/>
    </row>
    <row r="48" spans="2:121" s="445" customFormat="1" ht="14.1" customHeight="1">
      <c r="B48" s="762"/>
      <c r="C48" s="459">
        <v>3</v>
      </c>
      <c r="D48" s="460">
        <f t="shared" ref="D48:G48" si="258">_xlfn.PERCENTILE.EXC(_xlfn.ANCHORARRAY(D54),0.4)</f>
        <v>71.2</v>
      </c>
      <c r="E48" s="461">
        <v>61.400000000000006</v>
      </c>
      <c r="F48" s="462">
        <f t="shared" si="228"/>
        <v>61.400000000000006</v>
      </c>
      <c r="G48" s="460">
        <f t="shared" si="258"/>
        <v>50</v>
      </c>
      <c r="H48" s="462"/>
      <c r="I48" s="462">
        <f t="shared" si="229"/>
        <v>50</v>
      </c>
      <c r="J48" s="471">
        <f>_xlfn.PERCENTILE.EXC(_xlfn.ANCHORARRAY(J54),0.4)</f>
        <v>2.25</v>
      </c>
      <c r="K48" s="464"/>
      <c r="L48" s="462">
        <f t="shared" si="230"/>
        <v>2.25</v>
      </c>
      <c r="M48" s="465">
        <f t="shared" ref="M48:CG48" si="259">_xlfn.PERCENTILE.EXC(_xlfn.ANCHORARRAY(M54),0.4)</f>
        <v>1.3</v>
      </c>
      <c r="N48" s="466"/>
      <c r="O48" s="462">
        <f t="shared" si="232"/>
        <v>1.3</v>
      </c>
      <c r="P48" s="471">
        <f t="shared" si="259"/>
        <v>0.44000000020000007</v>
      </c>
      <c r="Q48" s="464"/>
      <c r="R48" s="462">
        <f t="shared" si="233"/>
        <v>0.44000000020000007</v>
      </c>
      <c r="S48" s="465">
        <f t="shared" si="259"/>
        <v>8.64</v>
      </c>
      <c r="T48" s="466"/>
      <c r="U48" s="462">
        <f>IF(T48="",S48,T48)</f>
        <v>8.64</v>
      </c>
      <c r="V48" s="462"/>
      <c r="W48" s="462"/>
      <c r="X48" s="462"/>
      <c r="Y48" s="462"/>
      <c r="Z48" s="460">
        <f t="shared" si="259"/>
        <v>561.32400000000007</v>
      </c>
      <c r="AA48" s="467"/>
      <c r="AB48" s="462">
        <f t="shared" si="234"/>
        <v>561.32400000000007</v>
      </c>
      <c r="AC48" s="460">
        <f t="shared" si="259"/>
        <v>561.40000000000009</v>
      </c>
      <c r="AD48" s="462"/>
      <c r="AE48" s="462">
        <f t="shared" si="235"/>
        <v>561.40000000000009</v>
      </c>
      <c r="AF48" s="471">
        <f t="shared" si="259"/>
        <v>4.2600000000000007</v>
      </c>
      <c r="AG48" s="464"/>
      <c r="AH48" s="462">
        <f t="shared" si="236"/>
        <v>4.2600000000000007</v>
      </c>
      <c r="AI48" s="465">
        <f t="shared" si="259"/>
        <v>6.3200000000000012</v>
      </c>
      <c r="AJ48" s="466"/>
      <c r="AK48" s="462">
        <f t="shared" si="237"/>
        <v>6.3200000000000012</v>
      </c>
      <c r="AL48" s="471">
        <f t="shared" si="259"/>
        <v>2</v>
      </c>
      <c r="AM48" s="468">
        <v>3.3870000000000009</v>
      </c>
      <c r="AN48" s="462">
        <f t="shared" si="238"/>
        <v>3.3870000000000009</v>
      </c>
      <c r="AO48" s="465"/>
      <c r="AP48" s="466"/>
      <c r="AQ48" s="472"/>
      <c r="AR48" s="462"/>
      <c r="AS48" s="462"/>
      <c r="AT48" s="462"/>
      <c r="AU48" s="462"/>
      <c r="AV48" s="460">
        <f t="shared" si="259"/>
        <v>456.28214548126385</v>
      </c>
      <c r="AW48" s="467"/>
      <c r="AX48" s="462">
        <f t="shared" si="239"/>
        <v>456.28214548126385</v>
      </c>
      <c r="AY48" s="460">
        <f t="shared" si="259"/>
        <v>337</v>
      </c>
      <c r="AZ48" s="462"/>
      <c r="BA48" s="462">
        <f t="shared" si="240"/>
        <v>337</v>
      </c>
      <c r="BB48" s="471">
        <f t="shared" si="259"/>
        <v>11.9804888</v>
      </c>
      <c r="BC48" s="468">
        <v>3.5600000000000018</v>
      </c>
      <c r="BD48" s="470">
        <f t="shared" si="241"/>
        <v>3.5600000000000018</v>
      </c>
      <c r="BE48" s="465">
        <f t="shared" si="259"/>
        <v>7.5824000000000007</v>
      </c>
      <c r="BF48" s="466"/>
      <c r="BG48" s="462">
        <f t="shared" si="242"/>
        <v>7.5824000000000007</v>
      </c>
      <c r="BH48" s="471">
        <f t="shared" si="259"/>
        <v>8</v>
      </c>
      <c r="BI48" s="464"/>
      <c r="BJ48" s="462">
        <f t="shared" si="243"/>
        <v>8</v>
      </c>
      <c r="BK48" s="465">
        <f t="shared" si="259"/>
        <v>24.213600000000003</v>
      </c>
      <c r="BL48" s="466"/>
      <c r="BM48" s="462">
        <f t="shared" si="244"/>
        <v>24.213600000000003</v>
      </c>
      <c r="BN48" s="462"/>
      <c r="BO48" s="462"/>
      <c r="BP48" s="462"/>
      <c r="BQ48" s="462"/>
      <c r="BR48" s="460">
        <f t="shared" si="259"/>
        <v>38000</v>
      </c>
      <c r="BS48" s="467"/>
      <c r="BT48" s="462">
        <f t="shared" si="245"/>
        <v>38000</v>
      </c>
      <c r="BU48" s="460">
        <f t="shared" si="259"/>
        <v>5000</v>
      </c>
      <c r="BV48" s="462"/>
      <c r="BW48" s="462">
        <f t="shared" si="246"/>
        <v>5000</v>
      </c>
      <c r="BX48" s="460">
        <f t="shared" si="259"/>
        <v>188.46347520000003</v>
      </c>
      <c r="BY48" s="467"/>
      <c r="BZ48" s="462">
        <f t="shared" si="247"/>
        <v>188.46347520000003</v>
      </c>
      <c r="CA48" s="460">
        <f t="shared" si="259"/>
        <v>169.12000000000003</v>
      </c>
      <c r="CB48" s="462"/>
      <c r="CC48" s="462">
        <f t="shared" si="248"/>
        <v>169.12000000000003</v>
      </c>
      <c r="CD48" s="471">
        <f t="shared" si="259"/>
        <v>0.51200000000000023</v>
      </c>
      <c r="CE48" s="464"/>
      <c r="CF48" s="462">
        <f t="shared" si="249"/>
        <v>0.51200000000000023</v>
      </c>
      <c r="CG48" s="465">
        <f t="shared" si="259"/>
        <v>0.83200000000000052</v>
      </c>
      <c r="CH48" s="466"/>
      <c r="CI48" s="462">
        <f t="shared" si="250"/>
        <v>0.83200000000000052</v>
      </c>
      <c r="CJ48" s="462"/>
      <c r="CK48" s="462"/>
      <c r="CL48" s="462"/>
      <c r="CM48" s="462"/>
      <c r="CN48" s="460">
        <f t="shared" ref="CN48:DC48" si="260">_xlfn.PERCENTILE.EXC(_xlfn.ANCHORARRAY(CN54),0.4)</f>
        <v>2480</v>
      </c>
      <c r="CO48" s="467"/>
      <c r="CP48" s="462">
        <f t="shared" si="252"/>
        <v>2480</v>
      </c>
      <c r="CQ48" s="460">
        <f t="shared" si="260"/>
        <v>2261.7152231319014</v>
      </c>
      <c r="CR48" s="462"/>
      <c r="CS48" s="462">
        <f t="shared" si="253"/>
        <v>2261.7152231319014</v>
      </c>
      <c r="CT48" s="471">
        <f t="shared" si="260"/>
        <v>22.948128856624322</v>
      </c>
      <c r="CU48" s="468">
        <v>38.995782214156094</v>
      </c>
      <c r="CV48" s="462">
        <f t="shared" si="254"/>
        <v>38.995782214156094</v>
      </c>
      <c r="CW48" s="465">
        <f t="shared" si="260"/>
        <v>18.350000000000001</v>
      </c>
      <c r="CX48" s="466"/>
      <c r="CY48" s="462">
        <f t="shared" si="255"/>
        <v>18.350000000000001</v>
      </c>
      <c r="CZ48" s="471">
        <f t="shared" si="260"/>
        <v>17.692999999999998</v>
      </c>
      <c r="DA48" s="464"/>
      <c r="DB48" s="462">
        <f t="shared" si="256"/>
        <v>17.692999999999998</v>
      </c>
      <c r="DC48" s="465">
        <f t="shared" si="260"/>
        <v>17.798000000000002</v>
      </c>
      <c r="DD48" s="466"/>
      <c r="DE48" s="462">
        <f t="shared" si="257"/>
        <v>17.798000000000002</v>
      </c>
      <c r="DF48" s="462"/>
      <c r="DG48" s="462"/>
      <c r="DH48" s="462"/>
      <c r="DI48" s="462"/>
      <c r="DJ48" s="766"/>
      <c r="DK48" s="767"/>
      <c r="DL48" s="767"/>
      <c r="DM48" s="767"/>
      <c r="DN48" s="768"/>
    </row>
    <row r="49" spans="2:120" s="484" customFormat="1" ht="14.1" customHeight="1">
      <c r="B49" s="762"/>
      <c r="C49" s="473">
        <v>4</v>
      </c>
      <c r="D49" s="474">
        <f t="shared" ref="D49:G49" si="261">_xlfn.PERCENTILE.EXC(_xlfn.ANCHORARRAY(D54),0.6)</f>
        <v>195.99999999999997</v>
      </c>
      <c r="E49" s="475">
        <v>148.00000000000006</v>
      </c>
      <c r="F49" s="462">
        <f t="shared" si="228"/>
        <v>148.00000000000006</v>
      </c>
      <c r="G49" s="474">
        <f t="shared" si="261"/>
        <v>140</v>
      </c>
      <c r="H49" s="476"/>
      <c r="I49" s="462">
        <f t="shared" si="229"/>
        <v>140</v>
      </c>
      <c r="J49" s="477">
        <f>_xlfn.PERCENTILE.EXC(_xlfn.ANCHORARRAY(J54),0.6)</f>
        <v>4.4000000000000004</v>
      </c>
      <c r="K49" s="478"/>
      <c r="L49" s="462">
        <f t="shared" si="230"/>
        <v>4.4000000000000004</v>
      </c>
      <c r="M49" s="479">
        <f t="shared" ref="M49:CG49" si="262">_xlfn.PERCENTILE.EXC(_xlfn.ANCHORARRAY(M54),0.6)</f>
        <v>2.69</v>
      </c>
      <c r="N49" s="480"/>
      <c r="O49" s="462">
        <f t="shared" si="232"/>
        <v>2.69</v>
      </c>
      <c r="P49" s="477">
        <f t="shared" si="262"/>
        <v>4.9800000000400022</v>
      </c>
      <c r="Q49" s="478"/>
      <c r="R49" s="462">
        <f t="shared" si="233"/>
        <v>4.9800000000400022</v>
      </c>
      <c r="S49" s="479">
        <f t="shared" si="262"/>
        <v>25.927999999999997</v>
      </c>
      <c r="T49" s="480"/>
      <c r="U49" s="462">
        <f>IF(T49="",S49,T49)</f>
        <v>25.927999999999997</v>
      </c>
      <c r="V49" s="462"/>
      <c r="W49" s="462"/>
      <c r="X49" s="462"/>
      <c r="Y49" s="462"/>
      <c r="Z49" s="474">
        <f t="shared" si="262"/>
        <v>4079.9999999999964</v>
      </c>
      <c r="AA49" s="481"/>
      <c r="AB49" s="462">
        <f t="shared" si="234"/>
        <v>4079.9999999999964</v>
      </c>
      <c r="AC49" s="474">
        <f t="shared" si="262"/>
        <v>2059.9999999999991</v>
      </c>
      <c r="AD49" s="476"/>
      <c r="AE49" s="462">
        <f t="shared" si="235"/>
        <v>2059.9999999999991</v>
      </c>
      <c r="AF49" s="477">
        <f t="shared" si="262"/>
        <v>7.7599999999999989</v>
      </c>
      <c r="AG49" s="478"/>
      <c r="AH49" s="462">
        <f t="shared" si="236"/>
        <v>7.7599999999999989</v>
      </c>
      <c r="AI49" s="479">
        <f t="shared" si="262"/>
        <v>12.999999999999998</v>
      </c>
      <c r="AJ49" s="480"/>
      <c r="AK49" s="462">
        <f t="shared" si="237"/>
        <v>12.999999999999998</v>
      </c>
      <c r="AL49" s="477">
        <f t="shared" si="262"/>
        <v>4.0837500000000002</v>
      </c>
      <c r="AM49" s="482">
        <v>22.480000000000011</v>
      </c>
      <c r="AN49" s="462">
        <f t="shared" si="238"/>
        <v>22.480000000000011</v>
      </c>
      <c r="AO49" s="479"/>
      <c r="AP49" s="480"/>
      <c r="AQ49" s="483"/>
      <c r="AR49" s="462"/>
      <c r="AS49" s="462"/>
      <c r="AT49" s="462"/>
      <c r="AU49" s="462"/>
      <c r="AV49" s="474">
        <f t="shared" si="262"/>
        <v>657.09037472446732</v>
      </c>
      <c r="AW49" s="481"/>
      <c r="AX49" s="462">
        <f t="shared" si="239"/>
        <v>657.09037472446732</v>
      </c>
      <c r="AY49" s="474">
        <f t="shared" si="262"/>
        <v>930</v>
      </c>
      <c r="AZ49" s="476"/>
      <c r="BA49" s="462">
        <f t="shared" si="240"/>
        <v>930</v>
      </c>
      <c r="BB49" s="477">
        <f t="shared" si="262"/>
        <v>80.443018304949959</v>
      </c>
      <c r="BC49" s="482">
        <v>20.279999999999998</v>
      </c>
      <c r="BD49" s="470">
        <f t="shared" si="241"/>
        <v>20.279999999999998</v>
      </c>
      <c r="BE49" s="479">
        <f t="shared" si="262"/>
        <v>97.775199999999941</v>
      </c>
      <c r="BF49" s="480"/>
      <c r="BG49" s="462">
        <f t="shared" si="242"/>
        <v>97.775199999999941</v>
      </c>
      <c r="BH49" s="477">
        <f t="shared" si="262"/>
        <v>34.571191489361709</v>
      </c>
      <c r="BI49" s="478"/>
      <c r="BJ49" s="462">
        <f t="shared" si="243"/>
        <v>34.571191489361709</v>
      </c>
      <c r="BK49" s="479">
        <f t="shared" si="262"/>
        <v>35.504000000000005</v>
      </c>
      <c r="BL49" s="480"/>
      <c r="BM49" s="462">
        <f t="shared" si="244"/>
        <v>35.504000000000005</v>
      </c>
      <c r="BN49" s="462"/>
      <c r="BO49" s="462"/>
      <c r="BP49" s="462"/>
      <c r="BQ49" s="462"/>
      <c r="BR49" s="474">
        <f t="shared" si="262"/>
        <v>83600</v>
      </c>
      <c r="BS49" s="481"/>
      <c r="BT49" s="462">
        <f t="shared" si="245"/>
        <v>83600</v>
      </c>
      <c r="BU49" s="474">
        <f t="shared" si="262"/>
        <v>34000</v>
      </c>
      <c r="BV49" s="476"/>
      <c r="BW49" s="462">
        <f t="shared" si="246"/>
        <v>34000</v>
      </c>
      <c r="BX49" s="474">
        <f t="shared" si="262"/>
        <v>1786.5246399999999</v>
      </c>
      <c r="BY49" s="481"/>
      <c r="BZ49" s="462">
        <f t="shared" si="247"/>
        <v>1786.5246399999999</v>
      </c>
      <c r="CA49" s="474">
        <f t="shared" si="262"/>
        <v>1683.5999999999997</v>
      </c>
      <c r="CB49" s="476"/>
      <c r="CC49" s="462">
        <f t="shared" si="248"/>
        <v>1683.5999999999997</v>
      </c>
      <c r="CD49" s="477">
        <f t="shared" si="262"/>
        <v>3.1999999999999984</v>
      </c>
      <c r="CE49" s="478"/>
      <c r="CF49" s="462">
        <f t="shared" si="249"/>
        <v>3.1999999999999984</v>
      </c>
      <c r="CG49" s="479">
        <f t="shared" si="262"/>
        <v>4.9599999999999973</v>
      </c>
      <c r="CH49" s="480"/>
      <c r="CI49" s="462">
        <f t="shared" si="250"/>
        <v>4.9599999999999973</v>
      </c>
      <c r="CJ49" s="462"/>
      <c r="CK49" s="462"/>
      <c r="CL49" s="462"/>
      <c r="CM49" s="462"/>
      <c r="CN49" s="474">
        <f t="shared" ref="CN49:DC49" si="263">_xlfn.PERCENTILE.EXC(_xlfn.ANCHORARRAY(CN54),0.6)</f>
        <v>6199.9999999999982</v>
      </c>
      <c r="CO49" s="481"/>
      <c r="CP49" s="462">
        <f t="shared" si="252"/>
        <v>6199.9999999999982</v>
      </c>
      <c r="CQ49" s="474">
        <f t="shared" si="263"/>
        <v>5275.6279871999996</v>
      </c>
      <c r="CR49" s="476"/>
      <c r="CS49" s="462">
        <f t="shared" si="253"/>
        <v>5275.6279871999996</v>
      </c>
      <c r="CT49" s="477">
        <f t="shared" si="263"/>
        <v>68.514289224744317</v>
      </c>
      <c r="CU49" s="482">
        <v>76.5642892247443</v>
      </c>
      <c r="CV49" s="462">
        <f t="shared" si="254"/>
        <v>76.5642892247443</v>
      </c>
      <c r="CW49" s="479">
        <f t="shared" si="263"/>
        <v>70.27200000000002</v>
      </c>
      <c r="CX49" s="480"/>
      <c r="CY49" s="462">
        <f t="shared" si="255"/>
        <v>70.27200000000002</v>
      </c>
      <c r="CZ49" s="477">
        <f t="shared" si="263"/>
        <v>31.4087789473684</v>
      </c>
      <c r="DA49" s="478"/>
      <c r="DB49" s="462">
        <f t="shared" si="256"/>
        <v>31.4087789473684</v>
      </c>
      <c r="DC49" s="479">
        <f t="shared" si="263"/>
        <v>36.391999999999989</v>
      </c>
      <c r="DD49" s="480"/>
      <c r="DE49" s="462">
        <f t="shared" si="257"/>
        <v>36.391999999999989</v>
      </c>
      <c r="DF49" s="462"/>
      <c r="DG49" s="462"/>
      <c r="DH49" s="462"/>
      <c r="DI49" s="462"/>
      <c r="DJ49" s="766"/>
      <c r="DK49" s="767"/>
      <c r="DL49" s="767"/>
      <c r="DM49" s="767"/>
      <c r="DN49" s="768"/>
      <c r="DO49" s="445"/>
      <c r="DP49" s="445"/>
    </row>
    <row r="50" spans="2:120" s="445" customFormat="1" ht="14.1" customHeight="1">
      <c r="B50" s="762"/>
      <c r="C50" s="459">
        <v>5</v>
      </c>
      <c r="D50" s="460">
        <f t="shared" ref="D50" si="264">_xlfn.PERCENTILE.EXC(_xlfn.ANCHORARRAY(D54),0.8)</f>
        <v>576</v>
      </c>
      <c r="E50" s="461">
        <v>568</v>
      </c>
      <c r="F50" s="462">
        <f t="shared" si="228"/>
        <v>568</v>
      </c>
      <c r="G50" s="460">
        <f>_xlfn.PERCENTILE.EXC(_xlfn.ANCHORARRAY(G54),0.8)</f>
        <v>600</v>
      </c>
      <c r="H50" s="485"/>
      <c r="I50" s="462">
        <f t="shared" si="229"/>
        <v>600</v>
      </c>
      <c r="J50" s="471">
        <f>_xlfn.PERCENTILE.EXC(_xlfn.ANCHORARRAY(J54),0.8)</f>
        <v>5.45</v>
      </c>
      <c r="K50" s="463"/>
      <c r="L50" s="462">
        <f t="shared" si="230"/>
        <v>5.45</v>
      </c>
      <c r="M50" s="465">
        <f t="shared" ref="M50:CG50" si="265">_xlfn.PERCENTILE.EXC(_xlfn.ANCHORARRAY(M54),0.8)</f>
        <v>7.2300000000000013</v>
      </c>
      <c r="N50" s="486"/>
      <c r="O50" s="462">
        <f t="shared" si="232"/>
        <v>7.2300000000000013</v>
      </c>
      <c r="P50" s="471">
        <f t="shared" si="265"/>
        <v>76.625000001500069</v>
      </c>
      <c r="Q50" s="463"/>
      <c r="R50" s="462">
        <f t="shared" si="233"/>
        <v>76.625000001500069</v>
      </c>
      <c r="S50" s="465">
        <f t="shared" si="265"/>
        <v>262.12600000000015</v>
      </c>
      <c r="T50" s="486"/>
      <c r="U50" s="462">
        <f>IF(T50="",S50,T50)</f>
        <v>262.12600000000015</v>
      </c>
      <c r="V50" s="462"/>
      <c r="W50" s="462"/>
      <c r="X50" s="462"/>
      <c r="Y50" s="462"/>
      <c r="Z50" s="460">
        <f t="shared" si="265"/>
        <v>71800</v>
      </c>
      <c r="AA50" s="487"/>
      <c r="AB50" s="462">
        <f t="shared" si="234"/>
        <v>71800</v>
      </c>
      <c r="AC50" s="460">
        <f t="shared" si="265"/>
        <v>34400.000000000058</v>
      </c>
      <c r="AD50" s="485"/>
      <c r="AE50" s="462">
        <f t="shared" si="235"/>
        <v>34400.000000000058</v>
      </c>
      <c r="AF50" s="471">
        <f t="shared" si="265"/>
        <v>57.000000000000043</v>
      </c>
      <c r="AG50" s="463"/>
      <c r="AH50" s="462">
        <f t="shared" si="236"/>
        <v>57.000000000000043</v>
      </c>
      <c r="AI50" s="465">
        <f t="shared" si="265"/>
        <v>73.000000000000057</v>
      </c>
      <c r="AJ50" s="486"/>
      <c r="AK50" s="462">
        <f t="shared" si="237"/>
        <v>73.000000000000057</v>
      </c>
      <c r="AL50" s="471">
        <f t="shared" si="265"/>
        <v>66</v>
      </c>
      <c r="AM50" s="468">
        <v>98.250000000000028</v>
      </c>
      <c r="AN50" s="462">
        <f t="shared" si="238"/>
        <v>98.250000000000028</v>
      </c>
      <c r="AO50" s="465"/>
      <c r="AP50" s="486"/>
      <c r="AQ50" s="488"/>
      <c r="AR50" s="462"/>
      <c r="AS50" s="462"/>
      <c r="AT50" s="462"/>
      <c r="AU50" s="462"/>
      <c r="AV50" s="460">
        <f t="shared" si="265"/>
        <v>2520.0000000000018</v>
      </c>
      <c r="AW50" s="487"/>
      <c r="AX50" s="462">
        <f t="shared" si="239"/>
        <v>2520.0000000000018</v>
      </c>
      <c r="AY50" s="460">
        <f t="shared" si="265"/>
        <v>2700</v>
      </c>
      <c r="AZ50" s="485"/>
      <c r="BA50" s="462">
        <f t="shared" si="240"/>
        <v>2700</v>
      </c>
      <c r="BB50" s="471">
        <f t="shared" si="265"/>
        <v>209.33823918500002</v>
      </c>
      <c r="BC50" s="468">
        <v>42.500000000000014</v>
      </c>
      <c r="BD50" s="470">
        <f t="shared" si="241"/>
        <v>42.500000000000014</v>
      </c>
      <c r="BE50" s="465">
        <f t="shared" si="265"/>
        <v>240.65800000000002</v>
      </c>
      <c r="BF50" s="486"/>
      <c r="BG50" s="462">
        <f t="shared" si="242"/>
        <v>240.65800000000002</v>
      </c>
      <c r="BH50" s="471">
        <f t="shared" si="265"/>
        <v>231.22475</v>
      </c>
      <c r="BI50" s="463"/>
      <c r="BJ50" s="462">
        <f t="shared" si="243"/>
        <v>231.22475</v>
      </c>
      <c r="BK50" s="465">
        <f t="shared" si="265"/>
        <v>471.72320000000013</v>
      </c>
      <c r="BL50" s="486"/>
      <c r="BM50" s="462">
        <f t="shared" si="244"/>
        <v>471.72320000000013</v>
      </c>
      <c r="BN50" s="462"/>
      <c r="BO50" s="462"/>
      <c r="BP50" s="462"/>
      <c r="BQ50" s="462"/>
      <c r="BR50" s="460">
        <f t="shared" si="265"/>
        <v>418000.00000000012</v>
      </c>
      <c r="BS50" s="487"/>
      <c r="BT50" s="462">
        <f t="shared" si="245"/>
        <v>418000.00000000012</v>
      </c>
      <c r="BU50" s="460">
        <f t="shared" si="265"/>
        <v>280000</v>
      </c>
      <c r="BV50" s="485"/>
      <c r="BW50" s="462">
        <f t="shared" si="246"/>
        <v>280000</v>
      </c>
      <c r="BX50" s="460">
        <f t="shared" si="265"/>
        <v>3221.6061000000009</v>
      </c>
      <c r="BY50" s="487"/>
      <c r="BZ50" s="462">
        <f t="shared" si="247"/>
        <v>3221.6061000000009</v>
      </c>
      <c r="CA50" s="460">
        <f t="shared" si="265"/>
        <v>3087.8000000000015</v>
      </c>
      <c r="CB50" s="485"/>
      <c r="CC50" s="462">
        <f t="shared" si="248"/>
        <v>3087.8000000000015</v>
      </c>
      <c r="CD50" s="471">
        <f t="shared" si="265"/>
        <v>68.416000000000054</v>
      </c>
      <c r="CE50" s="463"/>
      <c r="CF50" s="462">
        <f t="shared" si="249"/>
        <v>68.416000000000054</v>
      </c>
      <c r="CG50" s="465">
        <f t="shared" si="265"/>
        <v>86.816000000000074</v>
      </c>
      <c r="CH50" s="486"/>
      <c r="CI50" s="462">
        <f t="shared" si="250"/>
        <v>86.816000000000074</v>
      </c>
      <c r="CJ50" s="462"/>
      <c r="CK50" s="462"/>
      <c r="CL50" s="462"/>
      <c r="CM50" s="462"/>
      <c r="CN50" s="460">
        <f t="shared" ref="CN50:DC50" si="266">_xlfn.PERCENTILE.EXC(_xlfn.ANCHORARRAY(CN54),0.8)</f>
        <v>17000</v>
      </c>
      <c r="CO50" s="487"/>
      <c r="CP50" s="462">
        <f t="shared" si="252"/>
        <v>17000</v>
      </c>
      <c r="CQ50" s="460">
        <f t="shared" si="266"/>
        <v>19000.000000000007</v>
      </c>
      <c r="CR50" s="485"/>
      <c r="CS50" s="462">
        <f t="shared" si="253"/>
        <v>19000.000000000007</v>
      </c>
      <c r="CT50" s="471">
        <f t="shared" si="266"/>
        <v>134.41520800000001</v>
      </c>
      <c r="CU50" s="468">
        <v>140.94347200000004</v>
      </c>
      <c r="CV50" s="462">
        <f t="shared" si="254"/>
        <v>140.94347200000004</v>
      </c>
      <c r="CW50" s="465">
        <f t="shared" si="266"/>
        <v>208.67950000000002</v>
      </c>
      <c r="CX50" s="486"/>
      <c r="CY50" s="462">
        <f t="shared" si="255"/>
        <v>208.67950000000002</v>
      </c>
      <c r="CZ50" s="471">
        <f t="shared" si="266"/>
        <v>109.20440000000002</v>
      </c>
      <c r="DA50" s="463"/>
      <c r="DB50" s="462">
        <f t="shared" si="256"/>
        <v>109.20440000000002</v>
      </c>
      <c r="DC50" s="465">
        <f t="shared" si="266"/>
        <v>171.07600000000008</v>
      </c>
      <c r="DD50" s="486"/>
      <c r="DE50" s="462">
        <f t="shared" si="257"/>
        <v>171.07600000000008</v>
      </c>
      <c r="DF50" s="462"/>
      <c r="DG50" s="462"/>
      <c r="DH50" s="462"/>
      <c r="DI50" s="462"/>
      <c r="DJ50" s="769"/>
      <c r="DK50" s="770"/>
      <c r="DL50" s="770"/>
      <c r="DM50" s="770"/>
      <c r="DN50" s="771"/>
    </row>
    <row r="51" spans="2:120" s="445" customFormat="1" ht="14.1" customHeight="1">
      <c r="B51" s="489"/>
      <c r="C51" s="490"/>
      <c r="D51" s="462"/>
      <c r="E51" s="491"/>
      <c r="F51" s="462"/>
      <c r="G51" s="462"/>
      <c r="H51" s="462"/>
      <c r="I51" s="462"/>
      <c r="J51" s="466"/>
      <c r="K51" s="466"/>
      <c r="L51" s="466"/>
      <c r="M51" s="466"/>
      <c r="N51" s="466"/>
      <c r="O51" s="466"/>
      <c r="P51" s="466"/>
      <c r="Q51" s="466"/>
      <c r="R51" s="466"/>
      <c r="S51" s="466"/>
      <c r="T51" s="466"/>
      <c r="U51" s="466"/>
      <c r="V51" s="466"/>
      <c r="W51" s="466"/>
      <c r="X51" s="466"/>
      <c r="Y51" s="466"/>
      <c r="Z51" s="462"/>
      <c r="AA51" s="462"/>
      <c r="AB51" s="462"/>
      <c r="AC51" s="462"/>
      <c r="AD51" s="462"/>
      <c r="AE51" s="462"/>
      <c r="AF51" s="466"/>
      <c r="AG51" s="466"/>
      <c r="AH51" s="466"/>
      <c r="AI51" s="466"/>
      <c r="AJ51" s="466"/>
      <c r="AK51" s="466"/>
      <c r="AL51" s="466"/>
      <c r="AM51" s="492"/>
      <c r="AN51" s="466"/>
      <c r="AO51" s="466"/>
      <c r="AP51" s="466"/>
      <c r="AQ51" s="466"/>
      <c r="AR51" s="466"/>
      <c r="AS51" s="466"/>
      <c r="AT51" s="466"/>
      <c r="AU51" s="466"/>
      <c r="AV51" s="462"/>
      <c r="AW51" s="462"/>
      <c r="AX51" s="462"/>
      <c r="AY51" s="462"/>
      <c r="AZ51" s="462"/>
      <c r="BA51" s="462"/>
      <c r="BB51" s="466"/>
      <c r="BC51" s="492"/>
      <c r="BD51" s="466"/>
      <c r="BE51" s="466"/>
      <c r="BF51" s="466"/>
      <c r="BG51" s="466"/>
      <c r="BH51" s="466"/>
      <c r="BI51" s="466"/>
      <c r="BJ51" s="466"/>
      <c r="BK51" s="466"/>
      <c r="BL51" s="466"/>
      <c r="BM51" s="466"/>
      <c r="BN51" s="466"/>
      <c r="BO51" s="466"/>
      <c r="BP51" s="466"/>
      <c r="BQ51" s="466"/>
      <c r="BR51" s="462"/>
      <c r="BS51" s="462"/>
      <c r="BT51" s="462"/>
      <c r="BU51" s="462"/>
      <c r="BV51" s="462"/>
      <c r="BW51" s="462"/>
      <c r="BX51" s="462"/>
      <c r="BY51" s="462"/>
      <c r="BZ51" s="462"/>
      <c r="CA51" s="462"/>
      <c r="CB51" s="462"/>
      <c r="CC51" s="462"/>
      <c r="CD51" s="466"/>
      <c r="CE51" s="466"/>
      <c r="CF51" s="466"/>
      <c r="CG51" s="466"/>
      <c r="CH51" s="466"/>
      <c r="CI51" s="466"/>
      <c r="CJ51" s="466"/>
      <c r="CK51" s="466"/>
      <c r="CL51" s="466"/>
      <c r="CM51" s="466"/>
      <c r="CN51" s="462"/>
      <c r="CO51" s="462"/>
      <c r="CP51" s="462"/>
      <c r="CQ51" s="462"/>
      <c r="CR51" s="462"/>
      <c r="CS51" s="462"/>
      <c r="CT51" s="466"/>
      <c r="CU51" s="492"/>
      <c r="CV51" s="466"/>
      <c r="CW51" s="466"/>
      <c r="CX51" s="466"/>
      <c r="CY51" s="466"/>
      <c r="CZ51" s="466"/>
      <c r="DA51" s="466"/>
      <c r="DB51" s="466"/>
      <c r="DC51" s="466"/>
      <c r="DD51" s="466"/>
      <c r="DE51" s="466"/>
      <c r="DF51" s="466"/>
      <c r="DG51" s="466"/>
      <c r="DH51" s="466"/>
      <c r="DI51" s="466"/>
      <c r="DJ51" s="362"/>
      <c r="DK51" s="362"/>
    </row>
    <row r="52" spans="2:120" s="445" customFormat="1" ht="14.1" customHeight="1">
      <c r="B52" s="489"/>
      <c r="C52" s="490"/>
      <c r="D52" s="462"/>
      <c r="E52" s="491"/>
      <c r="F52" s="462"/>
      <c r="G52" s="462"/>
      <c r="H52" s="462"/>
      <c r="I52" s="462"/>
      <c r="J52" s="466"/>
      <c r="K52" s="466"/>
      <c r="L52" s="466"/>
      <c r="M52" s="466"/>
      <c r="N52" s="466"/>
      <c r="O52" s="466"/>
      <c r="P52" s="466"/>
      <c r="Q52" s="466"/>
      <c r="R52" s="466"/>
      <c r="S52" s="466"/>
      <c r="T52" s="466"/>
      <c r="U52" s="466"/>
      <c r="V52" s="466"/>
      <c r="W52" s="466"/>
      <c r="X52" s="466"/>
      <c r="Y52" s="466"/>
      <c r="Z52" s="462"/>
      <c r="AA52" s="462"/>
      <c r="AB52" s="462"/>
      <c r="AC52" s="462"/>
      <c r="AD52" s="462"/>
      <c r="AE52" s="462"/>
      <c r="AF52" s="466"/>
      <c r="AG52" s="466"/>
      <c r="AH52" s="466"/>
      <c r="AI52" s="466"/>
      <c r="AJ52" s="466"/>
      <c r="AK52" s="466"/>
      <c r="AL52" s="466"/>
      <c r="AM52" s="492"/>
      <c r="AN52" s="466"/>
      <c r="AO52" s="466"/>
      <c r="AP52" s="466"/>
      <c r="AQ52" s="466"/>
      <c r="AR52" s="466"/>
      <c r="AS52" s="466"/>
      <c r="AT52" s="466"/>
      <c r="AU52" s="466"/>
      <c r="AV52" s="462"/>
      <c r="AW52" s="462"/>
      <c r="AX52" s="462"/>
      <c r="AY52" s="462"/>
      <c r="AZ52" s="462"/>
      <c r="BA52" s="462"/>
      <c r="BB52" s="466"/>
      <c r="BC52" s="492"/>
      <c r="BD52" s="466"/>
      <c r="BE52" s="466"/>
      <c r="BF52" s="466"/>
      <c r="BG52" s="466"/>
      <c r="BH52" s="466"/>
      <c r="BI52" s="466"/>
      <c r="BJ52" s="466"/>
      <c r="BK52" s="466"/>
      <c r="BL52" s="466"/>
      <c r="BM52" s="466"/>
      <c r="BN52" s="466"/>
      <c r="BO52" s="466"/>
      <c r="BP52" s="466"/>
      <c r="BQ52" s="466"/>
      <c r="BR52" s="462"/>
      <c r="BS52" s="462"/>
      <c r="BT52" s="462"/>
      <c r="BU52" s="462"/>
      <c r="BV52" s="462"/>
      <c r="BW52" s="462"/>
      <c r="BX52" s="462"/>
      <c r="BY52" s="462"/>
      <c r="BZ52" s="462"/>
      <c r="CA52" s="462"/>
      <c r="CB52" s="462"/>
      <c r="CC52" s="462"/>
      <c r="CD52" s="466"/>
      <c r="CE52" s="466"/>
      <c r="CF52" s="466"/>
      <c r="CG52" s="466"/>
      <c r="CH52" s="466"/>
      <c r="CI52" s="466"/>
      <c r="CJ52" s="466"/>
      <c r="CK52" s="466"/>
      <c r="CL52" s="466"/>
      <c r="CM52" s="466"/>
      <c r="CN52" s="462"/>
      <c r="CO52" s="462"/>
      <c r="CP52" s="462"/>
      <c r="CQ52" s="462"/>
      <c r="CR52" s="462"/>
      <c r="CS52" s="462"/>
      <c r="CT52" s="466"/>
      <c r="CU52" s="492"/>
      <c r="CV52" s="466"/>
      <c r="CW52" s="466"/>
      <c r="CX52" s="466"/>
      <c r="CY52" s="466"/>
      <c r="CZ52" s="466"/>
      <c r="DA52" s="466"/>
      <c r="DB52" s="466"/>
      <c r="DC52" s="466"/>
      <c r="DD52" s="466"/>
      <c r="DE52" s="466"/>
      <c r="DF52" s="466"/>
      <c r="DG52" s="466"/>
      <c r="DH52" s="466"/>
      <c r="DI52" s="466"/>
      <c r="DJ52" s="362"/>
      <c r="DK52" s="362"/>
    </row>
    <row r="54" spans="2:120" outlineLevel="1">
      <c r="B54" s="753" t="s">
        <v>350</v>
      </c>
      <c r="C54" s="753"/>
      <c r="D54" s="493" cm="1">
        <f t="array" ref="D54:D65">_xlfn._xlws.SORT(_xlfn.UNIQUE(D13:D42))</f>
        <v>0</v>
      </c>
      <c r="E54" s="493"/>
      <c r="F54" s="493"/>
      <c r="G54" s="493" cm="1">
        <f t="array" ref="G54:G67">_xlfn._xlws.SORT(_xlfn.UNIQUE(G13:G42))</f>
        <v>0</v>
      </c>
      <c r="H54" s="493"/>
      <c r="I54" s="493"/>
      <c r="J54" s="493" cm="1">
        <f t="array" ref="J54:J62">_xlfn._xlws.SORT(_xlfn.UNIQUE(J13:J42))</f>
        <v>0</v>
      </c>
      <c r="K54" s="493"/>
      <c r="L54" s="493"/>
      <c r="M54" s="493" cm="1">
        <f t="array" ref="M54:M65">_xlfn._xlws.SORT(_xlfn.UNIQUE(M13:M42))</f>
        <v>0</v>
      </c>
      <c r="N54" s="493"/>
      <c r="O54" s="493"/>
      <c r="P54" s="493" cm="1">
        <f t="array" ref="P54:P59">_xlfn._xlws.SORT(_xlfn.UNIQUE(P13:P42))</f>
        <v>0</v>
      </c>
      <c r="Q54" s="493"/>
      <c r="R54" s="493"/>
      <c r="S54" s="493" cm="1">
        <f t="array" ref="S54:S60">_xlfn._xlws.SORT(_xlfn.UNIQUE(S13:S42))</f>
        <v>0</v>
      </c>
      <c r="T54" s="493"/>
      <c r="U54" s="493"/>
      <c r="V54" s="493"/>
      <c r="W54" s="493"/>
      <c r="X54" s="493"/>
      <c r="Y54" s="493"/>
      <c r="Z54" s="493" cm="1">
        <f t="array" ref="Z54:Z64">_xlfn._xlws.SORT(_xlfn.UNIQUE(Z13:Z42))</f>
        <v>0</v>
      </c>
      <c r="AA54" s="493"/>
      <c r="AB54" s="493"/>
      <c r="AC54" s="493" cm="1">
        <f t="array" ref="AC54:AC64">_xlfn._xlws.SORT(_xlfn.UNIQUE(AC13:AC42))</f>
        <v>0</v>
      </c>
      <c r="AD54" s="493"/>
      <c r="AE54" s="493"/>
      <c r="AF54" s="493" cm="1">
        <f t="array" ref="AF54:AF63">_xlfn._xlws.SORT(_xlfn.UNIQUE(AF13:AF42))</f>
        <v>0</v>
      </c>
      <c r="AG54" s="493"/>
      <c r="AH54" s="493"/>
      <c r="AI54" s="493" cm="1">
        <f t="array" ref="AI54:AI63">_xlfn._xlws.SORT(_xlfn.UNIQUE(AI13:AI42))</f>
        <v>0</v>
      </c>
      <c r="AJ54" s="493"/>
      <c r="AK54" s="493"/>
      <c r="AL54" s="493" cm="1">
        <f t="array" ref="AL54:AL62">_xlfn._xlws.SORT(_xlfn.UNIQUE(AL13:AL42))</f>
        <v>0</v>
      </c>
      <c r="AM54" s="493"/>
      <c r="AN54" s="493"/>
      <c r="AO54" s="493"/>
      <c r="AP54" s="493"/>
      <c r="AQ54" s="493"/>
      <c r="AR54" s="493"/>
      <c r="AS54" s="493"/>
      <c r="AT54" s="493"/>
      <c r="AU54" s="493"/>
      <c r="AV54" s="493" cm="1">
        <f t="array" ref="AV54:AV66">_xlfn._xlws.SORT(_xlfn.UNIQUE(AV13:AV42))</f>
        <v>0</v>
      </c>
      <c r="AW54" s="493"/>
      <c r="AX54" s="493"/>
      <c r="AY54" s="493" cm="1">
        <f t="array" ref="AY54:AY67">_xlfn._xlws.SORT(_xlfn.UNIQUE(AY13:AY42))</f>
        <v>0</v>
      </c>
      <c r="AZ54" s="493"/>
      <c r="BA54" s="493"/>
      <c r="BB54" s="493" cm="1">
        <f t="array" ref="BB54:BB61">_xlfn._xlws.SORT(_xlfn.UNIQUE(BB13:BB42))</f>
        <v>0</v>
      </c>
      <c r="BC54" s="493"/>
      <c r="BD54" s="493"/>
      <c r="BE54" s="493" cm="1">
        <f t="array" ref="BE54:BE61">_xlfn._xlws.SORT(_xlfn.UNIQUE(BE13:BE42))</f>
        <v>0</v>
      </c>
      <c r="BF54" s="493"/>
      <c r="BG54" s="493"/>
      <c r="BH54" s="493" cm="1">
        <f t="array" ref="BH54:BH62">_xlfn._xlws.SORT(_xlfn.UNIQUE(BH13:BH42))</f>
        <v>0</v>
      </c>
      <c r="BI54" s="493"/>
      <c r="BJ54" s="493"/>
      <c r="BK54" s="493" cm="1">
        <f t="array" ref="BK54:BK60">_xlfn._xlws.SORT(_xlfn.UNIQUE(BK13:BK42))</f>
        <v>0</v>
      </c>
      <c r="BL54" s="493"/>
      <c r="BM54" s="493"/>
      <c r="BN54" s="493"/>
      <c r="BO54" s="493"/>
      <c r="BP54" s="493"/>
      <c r="BQ54" s="493"/>
      <c r="BR54" s="493" cm="1">
        <f t="array" ref="BR54:BR60">_xlfn._xlws.SORT(_xlfn.UNIQUE(BR13:BR42))</f>
        <v>0</v>
      </c>
      <c r="BS54" s="493"/>
      <c r="BT54" s="493"/>
      <c r="BU54" s="493" cm="1">
        <f t="array" ref="BU54:BU62">_xlfn._xlws.SORT(_xlfn.UNIQUE(BU13:BU42))</f>
        <v>0</v>
      </c>
      <c r="BV54" s="493"/>
      <c r="BW54" s="493"/>
      <c r="BX54" s="493" cm="1">
        <f t="array" ref="BX54:BX63">_xlfn._xlws.SORT(_xlfn.UNIQUE(BX13:BX42))</f>
        <v>0</v>
      </c>
      <c r="BY54" s="493"/>
      <c r="BZ54" s="493"/>
      <c r="CA54" s="493" cm="1">
        <f t="array" ref="CA54:CA64">_xlfn._xlws.SORT(_xlfn.UNIQUE(CA13:CA42))</f>
        <v>0</v>
      </c>
      <c r="CB54" s="493"/>
      <c r="CC54" s="493"/>
      <c r="CD54" s="493" cm="1">
        <f t="array" ref="CD54:CD58">_xlfn._xlws.SORT(_xlfn.UNIQUE(CD13:CD42))</f>
        <v>0</v>
      </c>
      <c r="CE54" s="493"/>
      <c r="CF54" s="493"/>
      <c r="CG54" s="493" cm="1">
        <f t="array" ref="CG54:CG58">_xlfn._xlws.SORT(_xlfn.UNIQUE(CG13:CG42))</f>
        <v>0</v>
      </c>
      <c r="CH54" s="493"/>
      <c r="CI54" s="493"/>
      <c r="CJ54" s="493"/>
      <c r="CK54" s="493"/>
      <c r="CL54" s="493"/>
      <c r="CM54" s="493"/>
      <c r="CN54" s="493" cm="1">
        <f t="array" ref="CN54:CN61">_xlfn._xlws.SORT(_xlfn.UNIQUE(CN13:CN42))</f>
        <v>0</v>
      </c>
      <c r="CO54" s="493"/>
      <c r="CP54" s="493"/>
      <c r="CQ54" s="493" cm="1">
        <f t="array" ref="CQ54:CQ64">_xlfn._xlws.SORT(_xlfn.UNIQUE(CQ13:CQ42))</f>
        <v>0</v>
      </c>
      <c r="CR54" s="493"/>
      <c r="CS54" s="493"/>
      <c r="CT54" s="493" cm="1">
        <f t="array" ref="CT54:CT65">_xlfn._xlws.SORT(_xlfn.UNIQUE(CT13:CT42))</f>
        <v>0</v>
      </c>
      <c r="CU54" s="493"/>
      <c r="CV54" s="493"/>
      <c r="CW54" s="493" cm="1">
        <f t="array" ref="CW54:CW66">_xlfn._xlws.SORT(_xlfn.UNIQUE(CW13:CW42))</f>
        <v>0</v>
      </c>
      <c r="CX54" s="493"/>
      <c r="CY54" s="493"/>
      <c r="CZ54" s="493" cm="1">
        <f t="array" ref="CZ54:CZ61">_xlfn._xlws.SORT(_xlfn.UNIQUE(CZ13:CZ42))</f>
        <v>0</v>
      </c>
      <c r="DA54" s="493"/>
      <c r="DB54" s="493"/>
      <c r="DC54" s="493" cm="1">
        <f t="array" ref="DC54:DC61">_xlfn._xlws.SORT(_xlfn.UNIQUE(DC13:DC42))</f>
        <v>0</v>
      </c>
      <c r="DD54" s="493"/>
      <c r="DE54" s="493"/>
      <c r="DF54" s="493"/>
      <c r="DG54" s="493"/>
      <c r="DH54" s="493"/>
      <c r="DI54" s="493"/>
      <c r="DJ54" s="484"/>
      <c r="DK54" s="484"/>
      <c r="DL54" s="484"/>
      <c r="DM54" s="484"/>
      <c r="DN54" s="484"/>
    </row>
    <row r="55" spans="2:120" outlineLevel="1">
      <c r="B55" s="753"/>
      <c r="C55" s="753"/>
      <c r="D55" s="493">
        <v>10</v>
      </c>
      <c r="E55" s="493"/>
      <c r="F55" s="493"/>
      <c r="G55" s="493">
        <v>0.5</v>
      </c>
      <c r="H55" s="493"/>
      <c r="I55" s="493"/>
      <c r="J55" s="493">
        <v>0.5</v>
      </c>
      <c r="K55" s="493"/>
      <c r="L55" s="493"/>
      <c r="M55" s="493">
        <v>0.31</v>
      </c>
      <c r="N55" s="493"/>
      <c r="O55" s="493"/>
      <c r="P55" s="493">
        <v>0.4</v>
      </c>
      <c r="Q55" s="493"/>
      <c r="R55" s="493"/>
      <c r="S55" s="493">
        <v>2.44</v>
      </c>
      <c r="T55" s="493"/>
      <c r="U55" s="493"/>
      <c r="V55" s="493"/>
      <c r="W55" s="493"/>
      <c r="X55" s="493"/>
      <c r="Y55" s="493"/>
      <c r="Z55" s="493">
        <v>22.589999999999996</v>
      </c>
      <c r="AA55" s="493"/>
      <c r="AB55" s="493"/>
      <c r="AC55" s="493">
        <v>23</v>
      </c>
      <c r="AD55" s="493"/>
      <c r="AE55" s="493"/>
      <c r="AF55" s="493">
        <v>0.3</v>
      </c>
      <c r="AG55" s="493"/>
      <c r="AH55" s="493"/>
      <c r="AI55" s="493">
        <v>0.25</v>
      </c>
      <c r="AJ55" s="493"/>
      <c r="AK55" s="493"/>
      <c r="AL55" s="493">
        <v>0.11000000000000001</v>
      </c>
      <c r="AM55" s="493"/>
      <c r="AN55" s="493"/>
      <c r="AO55" s="493"/>
      <c r="AP55" s="493"/>
      <c r="AQ55" s="493"/>
      <c r="AR55" s="493"/>
      <c r="AS55" s="493"/>
      <c r="AT55" s="493"/>
      <c r="AU55" s="493"/>
      <c r="AV55" s="493">
        <v>9.9191770756796469</v>
      </c>
      <c r="AW55" s="493"/>
      <c r="AX55" s="493"/>
      <c r="AY55" s="493">
        <v>54</v>
      </c>
      <c r="AZ55" s="493"/>
      <c r="BA55" s="493"/>
      <c r="BB55" s="493">
        <v>1.5386383800000001</v>
      </c>
      <c r="BC55" s="493"/>
      <c r="BD55" s="493"/>
      <c r="BE55" s="493">
        <v>1.9490000000000001</v>
      </c>
      <c r="BF55" s="493"/>
      <c r="BG55" s="493"/>
      <c r="BH55" s="493">
        <v>0.5</v>
      </c>
      <c r="BI55" s="493"/>
      <c r="BJ55" s="493"/>
      <c r="BK55" s="493">
        <v>1.425</v>
      </c>
      <c r="BL55" s="493"/>
      <c r="BM55" s="493"/>
      <c r="BN55" s="493"/>
      <c r="BO55" s="493"/>
      <c r="BP55" s="493"/>
      <c r="BQ55" s="493"/>
      <c r="BR55" s="493">
        <v>5000</v>
      </c>
      <c r="BS55" s="493"/>
      <c r="BT55" s="493"/>
      <c r="BU55" s="493">
        <v>1927</v>
      </c>
      <c r="BV55" s="493"/>
      <c r="BW55" s="493"/>
      <c r="BX55" s="493">
        <v>26.5</v>
      </c>
      <c r="BY55" s="493"/>
      <c r="BZ55" s="493"/>
      <c r="CA55" s="493">
        <v>26.5</v>
      </c>
      <c r="CB55" s="493"/>
      <c r="CC55" s="493"/>
      <c r="CD55" s="493">
        <v>0.32</v>
      </c>
      <c r="CE55" s="493"/>
      <c r="CF55" s="493"/>
      <c r="CG55" s="493">
        <v>0.32</v>
      </c>
      <c r="CH55" s="493"/>
      <c r="CI55" s="493"/>
      <c r="CJ55" s="493"/>
      <c r="CK55" s="493"/>
      <c r="CL55" s="493"/>
      <c r="CM55" s="493"/>
      <c r="CN55" s="493">
        <v>340</v>
      </c>
      <c r="CO55" s="493"/>
      <c r="CP55" s="493"/>
      <c r="CQ55" s="493">
        <v>370</v>
      </c>
      <c r="CR55" s="493"/>
      <c r="CS55" s="493"/>
      <c r="CT55" s="493">
        <v>0.4</v>
      </c>
      <c r="CU55" s="493"/>
      <c r="CV55" s="493"/>
      <c r="CW55" s="493">
        <v>0.4</v>
      </c>
      <c r="CX55" s="493"/>
      <c r="CY55" s="493"/>
      <c r="CZ55" s="493">
        <v>5.4</v>
      </c>
      <c r="DA55" s="493"/>
      <c r="DB55" s="493"/>
      <c r="DC55" s="493">
        <v>10.199999999999999</v>
      </c>
      <c r="DD55" s="493"/>
      <c r="DE55" s="493"/>
      <c r="DF55" s="493"/>
      <c r="DG55" s="493"/>
      <c r="DH55" s="493"/>
      <c r="DI55" s="493"/>
    </row>
    <row r="56" spans="2:120" outlineLevel="1">
      <c r="D56" s="493">
        <v>13</v>
      </c>
      <c r="E56" s="493"/>
      <c r="F56" s="493"/>
      <c r="G56" s="493">
        <v>10</v>
      </c>
      <c r="H56" s="493"/>
      <c r="I56" s="493"/>
      <c r="J56" s="493">
        <v>1.5</v>
      </c>
      <c r="K56" s="493"/>
      <c r="L56" s="493"/>
      <c r="M56" s="493">
        <v>0.5</v>
      </c>
      <c r="N56" s="493"/>
      <c r="O56" s="493"/>
      <c r="P56" s="493">
        <v>0.45000000025000003</v>
      </c>
      <c r="Q56" s="493"/>
      <c r="R56" s="493"/>
      <c r="S56" s="493">
        <v>7.2</v>
      </c>
      <c r="T56" s="493"/>
      <c r="U56" s="493"/>
      <c r="V56" s="493"/>
      <c r="W56" s="493"/>
      <c r="X56" s="493"/>
      <c r="Y56" s="493"/>
      <c r="Z56" s="493">
        <v>37.65</v>
      </c>
      <c r="AA56" s="493"/>
      <c r="AB56" s="493"/>
      <c r="AC56" s="493">
        <v>38</v>
      </c>
      <c r="AD56" s="493"/>
      <c r="AE56" s="493"/>
      <c r="AF56" s="493">
        <v>2.7</v>
      </c>
      <c r="AG56" s="493"/>
      <c r="AH56" s="493"/>
      <c r="AI56" s="493">
        <v>1.9</v>
      </c>
      <c r="AJ56" s="493"/>
      <c r="AK56" s="493"/>
      <c r="AL56" s="493">
        <v>0.6</v>
      </c>
      <c r="AM56" s="493"/>
      <c r="AN56" s="493"/>
      <c r="AO56" s="493"/>
      <c r="AP56" s="493"/>
      <c r="AQ56" s="493"/>
      <c r="AR56" s="493"/>
      <c r="AS56" s="493"/>
      <c r="AT56" s="493"/>
      <c r="AU56" s="493"/>
      <c r="AV56" s="493">
        <v>95</v>
      </c>
      <c r="AW56" s="493"/>
      <c r="AX56" s="493"/>
      <c r="AY56" s="493">
        <v>56</v>
      </c>
      <c r="AZ56" s="493"/>
      <c r="BA56" s="493"/>
      <c r="BB56" s="493">
        <v>5</v>
      </c>
      <c r="BC56" s="493"/>
      <c r="BD56" s="493"/>
      <c r="BE56" s="493">
        <v>5</v>
      </c>
      <c r="BF56" s="493"/>
      <c r="BG56" s="493"/>
      <c r="BH56" s="493">
        <v>1.5</v>
      </c>
      <c r="BI56" s="493"/>
      <c r="BJ56" s="493"/>
      <c r="BK56" s="493">
        <v>21.891999999999999</v>
      </c>
      <c r="BL56" s="493"/>
      <c r="BM56" s="493"/>
      <c r="BN56" s="493"/>
      <c r="BO56" s="493"/>
      <c r="BP56" s="493"/>
      <c r="BQ56" s="493"/>
      <c r="BR56" s="493">
        <v>34000</v>
      </c>
      <c r="BS56" s="493"/>
      <c r="BT56" s="493"/>
      <c r="BU56" s="493">
        <v>3099</v>
      </c>
      <c r="BV56" s="493"/>
      <c r="BW56" s="493"/>
      <c r="BX56" s="493">
        <v>142.07999999999998</v>
      </c>
      <c r="BY56" s="493"/>
      <c r="BZ56" s="493"/>
      <c r="CA56" s="493">
        <v>142.1</v>
      </c>
      <c r="CB56" s="493"/>
      <c r="CC56" s="493"/>
      <c r="CD56" s="493">
        <v>0.8</v>
      </c>
      <c r="CE56" s="493"/>
      <c r="CF56" s="493"/>
      <c r="CG56" s="493">
        <v>1.6</v>
      </c>
      <c r="CH56" s="493"/>
      <c r="CI56" s="493"/>
      <c r="CJ56" s="493"/>
      <c r="CK56" s="493"/>
      <c r="CL56" s="493"/>
      <c r="CM56" s="493"/>
      <c r="CN56" s="493">
        <v>2000</v>
      </c>
      <c r="CO56" s="493"/>
      <c r="CP56" s="493"/>
      <c r="CQ56" s="493">
        <v>644.52</v>
      </c>
      <c r="CR56" s="493"/>
      <c r="CS56" s="493"/>
      <c r="CT56" s="493">
        <v>10</v>
      </c>
      <c r="CU56" s="493"/>
      <c r="CV56" s="493"/>
      <c r="CW56" s="493">
        <v>1</v>
      </c>
      <c r="CX56" s="493"/>
      <c r="CY56" s="493"/>
      <c r="CZ56" s="493">
        <v>7.4824999999999999</v>
      </c>
      <c r="DA56" s="493"/>
      <c r="DB56" s="493"/>
      <c r="DC56" s="493">
        <v>11</v>
      </c>
      <c r="DD56" s="493"/>
      <c r="DE56" s="493"/>
      <c r="DF56" s="493"/>
      <c r="DG56" s="493"/>
      <c r="DH56" s="493"/>
      <c r="DI56" s="493"/>
    </row>
    <row r="57" spans="2:120" outlineLevel="1">
      <c r="D57" s="493">
        <v>50</v>
      </c>
      <c r="E57" s="493"/>
      <c r="F57" s="493"/>
      <c r="G57" s="493">
        <v>13</v>
      </c>
      <c r="H57" s="493"/>
      <c r="I57" s="493"/>
      <c r="J57" s="493">
        <v>2.25</v>
      </c>
      <c r="K57" s="493"/>
      <c r="L57" s="493"/>
      <c r="M57" s="493">
        <v>0.95</v>
      </c>
      <c r="N57" s="493"/>
      <c r="O57" s="493"/>
      <c r="P57" s="493">
        <v>2.50000000005</v>
      </c>
      <c r="Q57" s="493"/>
      <c r="R57" s="493"/>
      <c r="S57" s="493">
        <v>14.4</v>
      </c>
      <c r="T57" s="493"/>
      <c r="U57" s="493"/>
      <c r="V57" s="493"/>
      <c r="W57" s="493"/>
      <c r="X57" s="493"/>
      <c r="Y57" s="493"/>
      <c r="Z57" s="493">
        <v>406.62</v>
      </c>
      <c r="AA57" s="493"/>
      <c r="AB57" s="493"/>
      <c r="AC57" s="493">
        <v>407</v>
      </c>
      <c r="AD57" s="493"/>
      <c r="AE57" s="493"/>
      <c r="AF57" s="493">
        <v>3.5</v>
      </c>
      <c r="AG57" s="493"/>
      <c r="AH57" s="493"/>
      <c r="AI57" s="493">
        <v>5</v>
      </c>
      <c r="AJ57" s="493"/>
      <c r="AK57" s="493"/>
      <c r="AL57" s="493">
        <v>2</v>
      </c>
      <c r="AM57" s="493"/>
      <c r="AN57" s="493"/>
      <c r="AO57" s="493"/>
      <c r="AP57" s="493"/>
      <c r="AQ57" s="493"/>
      <c r="AR57" s="493"/>
      <c r="AS57" s="493"/>
      <c r="AT57" s="493"/>
      <c r="AU57" s="493"/>
      <c r="AV57" s="493">
        <v>257.89860396767085</v>
      </c>
      <c r="AW57" s="493"/>
      <c r="AX57" s="493"/>
      <c r="AY57" s="493">
        <v>120</v>
      </c>
      <c r="AZ57" s="493"/>
      <c r="BA57" s="493"/>
      <c r="BB57" s="493">
        <v>16.634148</v>
      </c>
      <c r="BC57" s="493"/>
      <c r="BD57" s="493"/>
      <c r="BE57" s="493">
        <v>9.3040000000000003</v>
      </c>
      <c r="BF57" s="493"/>
      <c r="BG57" s="493"/>
      <c r="BH57" s="493">
        <v>8</v>
      </c>
      <c r="BI57" s="493"/>
      <c r="BJ57" s="493"/>
      <c r="BK57" s="493">
        <v>33.5</v>
      </c>
      <c r="BL57" s="493"/>
      <c r="BM57" s="493"/>
      <c r="BN57" s="493"/>
      <c r="BO57" s="493"/>
      <c r="BP57" s="493"/>
      <c r="BQ57" s="493"/>
      <c r="BR57" s="493">
        <v>54000</v>
      </c>
      <c r="BS57" s="493"/>
      <c r="BT57" s="493"/>
      <c r="BU57" s="493">
        <v>5000</v>
      </c>
      <c r="BV57" s="493"/>
      <c r="BW57" s="493"/>
      <c r="BX57" s="493">
        <v>173.9</v>
      </c>
      <c r="BY57" s="493"/>
      <c r="BZ57" s="493"/>
      <c r="CA57" s="493">
        <v>150</v>
      </c>
      <c r="CB57" s="493"/>
      <c r="CC57" s="493"/>
      <c r="CD57" s="493">
        <v>4.8</v>
      </c>
      <c r="CE57" s="493"/>
      <c r="CF57" s="493"/>
      <c r="CG57" s="493">
        <v>7.2</v>
      </c>
      <c r="CH57" s="493"/>
      <c r="CI57" s="493"/>
      <c r="CJ57" s="493"/>
      <c r="CK57" s="493"/>
      <c r="CL57" s="493"/>
      <c r="CM57" s="493"/>
      <c r="CN57" s="493">
        <v>2800</v>
      </c>
      <c r="CO57" s="493"/>
      <c r="CP57" s="493"/>
      <c r="CQ57" s="493">
        <v>2100</v>
      </c>
      <c r="CR57" s="493"/>
      <c r="CS57" s="493"/>
      <c r="CT57" s="493">
        <v>10.1</v>
      </c>
      <c r="CU57" s="493"/>
      <c r="CV57" s="493"/>
      <c r="CW57" s="493">
        <v>10</v>
      </c>
      <c r="CX57" s="493"/>
      <c r="CY57" s="493"/>
      <c r="CZ57" s="493">
        <v>24.5</v>
      </c>
      <c r="DA57" s="493"/>
      <c r="DB57" s="493"/>
      <c r="DC57" s="493">
        <v>22.33</v>
      </c>
      <c r="DD57" s="493"/>
      <c r="DE57" s="493"/>
      <c r="DF57" s="493"/>
      <c r="DG57" s="493"/>
      <c r="DH57" s="493"/>
      <c r="DI57" s="493"/>
    </row>
    <row r="58" spans="2:120" outlineLevel="1">
      <c r="D58" s="493">
        <v>69</v>
      </c>
      <c r="E58" s="493"/>
      <c r="F58" s="493"/>
      <c r="G58" s="493">
        <v>36</v>
      </c>
      <c r="H58" s="493"/>
      <c r="I58" s="493"/>
      <c r="J58" s="493">
        <v>2.8</v>
      </c>
      <c r="K58" s="493"/>
      <c r="L58" s="493"/>
      <c r="M58" s="493">
        <v>1.25</v>
      </c>
      <c r="N58" s="493"/>
      <c r="O58" s="493"/>
      <c r="P58" s="493">
        <v>14.9</v>
      </c>
      <c r="Q58" s="493"/>
      <c r="R58" s="493"/>
      <c r="S58" s="493">
        <v>28.81</v>
      </c>
      <c r="T58" s="493"/>
      <c r="U58" s="493"/>
      <c r="V58" s="493"/>
      <c r="W58" s="493"/>
      <c r="X58" s="493"/>
      <c r="Y58" s="493"/>
      <c r="Z58" s="493">
        <v>600</v>
      </c>
      <c r="AA58" s="493"/>
      <c r="AB58" s="493"/>
      <c r="AC58" s="493">
        <v>600</v>
      </c>
      <c r="AD58" s="493"/>
      <c r="AE58" s="493"/>
      <c r="AF58" s="493">
        <v>5.4</v>
      </c>
      <c r="AG58" s="493"/>
      <c r="AH58" s="493"/>
      <c r="AI58" s="493">
        <v>8.3000000000000007</v>
      </c>
      <c r="AJ58" s="493"/>
      <c r="AK58" s="493"/>
      <c r="AL58" s="493">
        <v>2.15</v>
      </c>
      <c r="AM58" s="493"/>
      <c r="AN58" s="493"/>
      <c r="AO58" s="493"/>
      <c r="AP58" s="493"/>
      <c r="AQ58" s="493"/>
      <c r="AR58" s="493"/>
      <c r="AS58" s="493"/>
      <c r="AT58" s="493"/>
      <c r="AU58" s="493"/>
      <c r="AV58" s="493">
        <v>337.25202057310798</v>
      </c>
      <c r="AW58" s="493"/>
      <c r="AX58" s="493"/>
      <c r="AY58" s="493">
        <v>250</v>
      </c>
      <c r="AZ58" s="493"/>
      <c r="BA58" s="493"/>
      <c r="BB58" s="493">
        <v>50.05</v>
      </c>
      <c r="BC58" s="493"/>
      <c r="BD58" s="493"/>
      <c r="BE58" s="493">
        <v>55.3</v>
      </c>
      <c r="BF58" s="493"/>
      <c r="BG58" s="493"/>
      <c r="BH58" s="493">
        <v>25.392150000000001</v>
      </c>
      <c r="BI58" s="493"/>
      <c r="BJ58" s="493"/>
      <c r="BK58" s="493">
        <v>36.005000000000003</v>
      </c>
      <c r="BL58" s="493"/>
      <c r="BM58" s="493"/>
      <c r="BN58" s="493"/>
      <c r="BO58" s="493"/>
      <c r="BP58" s="493"/>
      <c r="BQ58" s="493"/>
      <c r="BR58" s="493">
        <v>91000</v>
      </c>
      <c r="BS58" s="493"/>
      <c r="BT58" s="493"/>
      <c r="BU58" s="493">
        <v>7000</v>
      </c>
      <c r="BV58" s="493"/>
      <c r="BW58" s="493"/>
      <c r="BX58" s="493">
        <v>210.30868800000002</v>
      </c>
      <c r="BY58" s="493"/>
      <c r="BZ58" s="493"/>
      <c r="CA58" s="493">
        <v>173.9</v>
      </c>
      <c r="CB58" s="493"/>
      <c r="CC58" s="493"/>
      <c r="CD58" s="493">
        <v>84.32</v>
      </c>
      <c r="CE58" s="493"/>
      <c r="CF58" s="493"/>
      <c r="CG58" s="493">
        <v>106.72</v>
      </c>
      <c r="CH58" s="493"/>
      <c r="CI58" s="493"/>
      <c r="CJ58" s="493"/>
      <c r="CK58" s="493"/>
      <c r="CL58" s="493"/>
      <c r="CM58" s="493"/>
      <c r="CN58" s="493">
        <v>4800</v>
      </c>
      <c r="CO58" s="493"/>
      <c r="CP58" s="493"/>
      <c r="CQ58" s="493">
        <v>2302.1440289148768</v>
      </c>
      <c r="CR58" s="493"/>
      <c r="CS58" s="493"/>
      <c r="CT58" s="493">
        <v>17.5989110707804</v>
      </c>
      <c r="CU58" s="493"/>
      <c r="CV58" s="493"/>
      <c r="CW58" s="493">
        <v>17</v>
      </c>
      <c r="CX58" s="493"/>
      <c r="CY58" s="493"/>
      <c r="CZ58" s="493">
        <v>31.262</v>
      </c>
      <c r="DA58" s="493"/>
      <c r="DB58" s="493"/>
      <c r="DC58" s="493">
        <v>30</v>
      </c>
      <c r="DD58" s="493"/>
      <c r="DE58" s="493"/>
      <c r="DF58" s="493"/>
      <c r="DG58" s="493"/>
      <c r="DH58" s="493"/>
      <c r="DI58" s="493"/>
    </row>
    <row r="59" spans="2:120" outlineLevel="1">
      <c r="D59" s="493">
        <v>80</v>
      </c>
      <c r="E59" s="493"/>
      <c r="F59" s="493"/>
      <c r="G59" s="493">
        <v>50</v>
      </c>
      <c r="H59" s="493"/>
      <c r="I59" s="493"/>
      <c r="J59" s="493">
        <v>4.4000000000000004</v>
      </c>
      <c r="K59" s="493"/>
      <c r="L59" s="493"/>
      <c r="M59" s="493">
        <v>1.5</v>
      </c>
      <c r="N59" s="493"/>
      <c r="O59" s="493"/>
      <c r="P59" s="493">
        <v>117.77500000250002</v>
      </c>
      <c r="Q59" s="493"/>
      <c r="R59" s="493"/>
      <c r="S59" s="493">
        <v>72.010000000000005</v>
      </c>
      <c r="T59" s="493"/>
      <c r="U59" s="493"/>
      <c r="V59" s="493"/>
      <c r="W59" s="493"/>
      <c r="X59" s="493"/>
      <c r="Y59" s="493"/>
      <c r="Z59" s="493">
        <v>647.58000000000004</v>
      </c>
      <c r="AA59" s="493"/>
      <c r="AB59" s="493"/>
      <c r="AC59" s="493">
        <v>648</v>
      </c>
      <c r="AD59" s="493"/>
      <c r="AE59" s="493"/>
      <c r="AF59" s="493">
        <v>6.5</v>
      </c>
      <c r="AG59" s="493"/>
      <c r="AH59" s="493"/>
      <c r="AI59" s="493">
        <v>10</v>
      </c>
      <c r="AJ59" s="493"/>
      <c r="AK59" s="493"/>
      <c r="AL59" s="493">
        <v>4.0837500000000002</v>
      </c>
      <c r="AM59" s="493"/>
      <c r="AN59" s="493"/>
      <c r="AO59" s="493"/>
      <c r="AP59" s="493"/>
      <c r="AQ59" s="493"/>
      <c r="AR59" s="493"/>
      <c r="AS59" s="493"/>
      <c r="AT59" s="493"/>
      <c r="AU59" s="493"/>
      <c r="AV59" s="493">
        <v>535.63556208670093</v>
      </c>
      <c r="AW59" s="493"/>
      <c r="AX59" s="493"/>
      <c r="AY59" s="493">
        <v>337</v>
      </c>
      <c r="AZ59" s="493"/>
      <c r="BA59" s="493"/>
      <c r="BB59" s="493">
        <v>126.03254576237499</v>
      </c>
      <c r="BC59" s="493"/>
      <c r="BD59" s="493"/>
      <c r="BE59" s="493">
        <v>161.488</v>
      </c>
      <c r="BF59" s="493"/>
      <c r="BG59" s="493"/>
      <c r="BH59" s="493">
        <v>34.571191489361709</v>
      </c>
      <c r="BI59" s="493"/>
      <c r="BJ59" s="493"/>
      <c r="BK59" s="493">
        <v>248.124</v>
      </c>
      <c r="BL59" s="493"/>
      <c r="BM59" s="493"/>
      <c r="BN59" s="493"/>
      <c r="BO59" s="493"/>
      <c r="BP59" s="493"/>
      <c r="BQ59" s="493"/>
      <c r="BR59" s="493">
        <v>270000</v>
      </c>
      <c r="BS59" s="493"/>
      <c r="BT59" s="493"/>
      <c r="BU59" s="493">
        <v>34000</v>
      </c>
      <c r="BV59" s="493"/>
      <c r="BW59" s="493"/>
      <c r="BX59" s="493">
        <v>1422.8626000000002</v>
      </c>
      <c r="BY59" s="493"/>
      <c r="BZ59" s="493"/>
      <c r="CA59" s="493">
        <v>210</v>
      </c>
      <c r="CB59" s="493"/>
      <c r="CC59" s="493"/>
      <c r="CD59" s="493"/>
      <c r="CE59" s="493"/>
      <c r="CF59" s="493"/>
      <c r="CG59" s="493"/>
      <c r="CH59" s="493"/>
      <c r="CI59" s="493"/>
      <c r="CJ59" s="493"/>
      <c r="CK59" s="493"/>
      <c r="CL59" s="493"/>
      <c r="CM59" s="493"/>
      <c r="CN59" s="493">
        <v>8300</v>
      </c>
      <c r="CO59" s="493"/>
      <c r="CP59" s="493"/>
      <c r="CQ59" s="493">
        <v>4800</v>
      </c>
      <c r="CR59" s="493"/>
      <c r="CS59" s="493"/>
      <c r="CT59" s="493">
        <v>44.344999999999999</v>
      </c>
      <c r="CU59" s="493"/>
      <c r="CV59" s="493"/>
      <c r="CW59" s="493">
        <v>19.25</v>
      </c>
      <c r="CX59" s="493"/>
      <c r="CY59" s="493"/>
      <c r="CZ59" s="493">
        <v>31.628947368420999</v>
      </c>
      <c r="DA59" s="493"/>
      <c r="DB59" s="493"/>
      <c r="DC59" s="493">
        <v>45.98</v>
      </c>
      <c r="DD59" s="493"/>
      <c r="DE59" s="493"/>
      <c r="DF59" s="493"/>
      <c r="DG59" s="493"/>
      <c r="DH59" s="493"/>
      <c r="DI59" s="493"/>
    </row>
    <row r="60" spans="2:120" outlineLevel="1">
      <c r="D60" s="493">
        <v>100</v>
      </c>
      <c r="E60" s="493"/>
      <c r="F60" s="493"/>
      <c r="G60" s="493">
        <v>69</v>
      </c>
      <c r="H60" s="493"/>
      <c r="I60" s="493"/>
      <c r="J60" s="493">
        <v>5</v>
      </c>
      <c r="K60" s="493"/>
      <c r="L60" s="493"/>
      <c r="M60" s="493">
        <v>2.25</v>
      </c>
      <c r="N60" s="493"/>
      <c r="O60" s="493"/>
      <c r="P60" s="493"/>
      <c r="Q60" s="493"/>
      <c r="R60" s="493"/>
      <c r="S60" s="493">
        <v>547.29999999999995</v>
      </c>
      <c r="T60" s="493"/>
      <c r="U60" s="493"/>
      <c r="V60" s="493"/>
      <c r="W60" s="493"/>
      <c r="X60" s="493"/>
      <c r="Y60" s="493"/>
      <c r="Z60" s="493">
        <v>3100</v>
      </c>
      <c r="AA60" s="493"/>
      <c r="AB60" s="493"/>
      <c r="AC60" s="493">
        <v>1800</v>
      </c>
      <c r="AD60" s="493"/>
      <c r="AE60" s="493"/>
      <c r="AF60" s="493">
        <v>8.6</v>
      </c>
      <c r="AG60" s="493"/>
      <c r="AH60" s="493"/>
      <c r="AI60" s="493">
        <v>15</v>
      </c>
      <c r="AJ60" s="493"/>
      <c r="AK60" s="493"/>
      <c r="AL60" s="493">
        <v>57.8</v>
      </c>
      <c r="AM60" s="493"/>
      <c r="AN60" s="493"/>
      <c r="AO60" s="493"/>
      <c r="AP60" s="493"/>
      <c r="AQ60" s="493"/>
      <c r="AR60" s="493"/>
      <c r="AS60" s="493"/>
      <c r="AT60" s="493"/>
      <c r="AU60" s="493"/>
      <c r="AV60" s="493">
        <v>575.31227038941961</v>
      </c>
      <c r="AW60" s="493"/>
      <c r="AX60" s="493"/>
      <c r="AY60" s="493">
        <v>536</v>
      </c>
      <c r="AZ60" s="493"/>
      <c r="BA60" s="493"/>
      <c r="BB60" s="493">
        <v>195.7</v>
      </c>
      <c r="BC60" s="493"/>
      <c r="BD60" s="493"/>
      <c r="BE60" s="493">
        <v>220.92500000000001</v>
      </c>
      <c r="BF60" s="493"/>
      <c r="BG60" s="493"/>
      <c r="BH60" s="493">
        <v>63</v>
      </c>
      <c r="BI60" s="493"/>
      <c r="BJ60" s="493"/>
      <c r="BK60" s="493">
        <v>807.12199999999996</v>
      </c>
      <c r="BL60" s="493"/>
      <c r="BM60" s="493"/>
      <c r="BN60" s="493"/>
      <c r="BO60" s="493"/>
      <c r="BP60" s="493"/>
      <c r="BQ60" s="493"/>
      <c r="BR60" s="493">
        <v>640000</v>
      </c>
      <c r="BS60" s="493"/>
      <c r="BT60" s="493"/>
      <c r="BU60" s="493">
        <v>270000</v>
      </c>
      <c r="BV60" s="493"/>
      <c r="BW60" s="493"/>
      <c r="BX60" s="493">
        <v>2028.9659999999999</v>
      </c>
      <c r="BY60" s="493"/>
      <c r="BZ60" s="493"/>
      <c r="CA60" s="493">
        <v>1571</v>
      </c>
      <c r="CB60" s="493"/>
      <c r="CC60" s="493"/>
      <c r="CD60" s="493"/>
      <c r="CE60" s="493"/>
      <c r="CF60" s="493"/>
      <c r="CG60" s="493"/>
      <c r="CH60" s="493"/>
      <c r="CI60" s="493"/>
      <c r="CJ60" s="493"/>
      <c r="CK60" s="493"/>
      <c r="CL60" s="493"/>
      <c r="CM60" s="493"/>
      <c r="CN60" s="493">
        <v>16000</v>
      </c>
      <c r="CO60" s="493"/>
      <c r="CP60" s="493"/>
      <c r="CQ60" s="493">
        <v>5050.1999839999999</v>
      </c>
      <c r="CR60" s="493"/>
      <c r="CS60" s="493"/>
      <c r="CT60" s="493">
        <v>60</v>
      </c>
      <c r="CU60" s="493"/>
      <c r="CV60" s="493"/>
      <c r="CW60" s="493">
        <v>51.95</v>
      </c>
      <c r="CX60" s="493"/>
      <c r="CY60" s="493"/>
      <c r="CZ60" s="493">
        <v>82</v>
      </c>
      <c r="DA60" s="493"/>
      <c r="DB60" s="493"/>
      <c r="DC60" s="493">
        <v>85</v>
      </c>
      <c r="DD60" s="493"/>
      <c r="DE60" s="493"/>
      <c r="DF60" s="493"/>
      <c r="DG60" s="493"/>
      <c r="DH60" s="493"/>
      <c r="DI60" s="493"/>
    </row>
    <row r="61" spans="2:120" outlineLevel="1">
      <c r="D61" s="493">
        <v>220</v>
      </c>
      <c r="E61" s="493"/>
      <c r="F61" s="493"/>
      <c r="G61" s="493">
        <v>100</v>
      </c>
      <c r="H61" s="493"/>
      <c r="I61" s="493"/>
      <c r="J61" s="493">
        <v>5.45</v>
      </c>
      <c r="K61" s="493"/>
      <c r="L61" s="493"/>
      <c r="M61" s="493">
        <v>2.8</v>
      </c>
      <c r="N61" s="493"/>
      <c r="O61" s="493"/>
      <c r="P61" s="493"/>
      <c r="Q61" s="493"/>
      <c r="R61" s="493"/>
      <c r="S61" s="493"/>
      <c r="T61" s="493"/>
      <c r="U61" s="493"/>
      <c r="V61" s="493"/>
      <c r="W61" s="493"/>
      <c r="X61" s="493"/>
      <c r="Y61" s="493"/>
      <c r="Z61" s="493">
        <v>8000</v>
      </c>
      <c r="AA61" s="493"/>
      <c r="AB61" s="493"/>
      <c r="AC61" s="493">
        <v>3100</v>
      </c>
      <c r="AD61" s="493"/>
      <c r="AE61" s="493"/>
      <c r="AF61" s="493">
        <v>13</v>
      </c>
      <c r="AG61" s="493"/>
      <c r="AH61" s="493"/>
      <c r="AI61" s="493">
        <v>17</v>
      </c>
      <c r="AJ61" s="493"/>
      <c r="AK61" s="493"/>
      <c r="AL61" s="493">
        <v>66</v>
      </c>
      <c r="AM61" s="493"/>
      <c r="AN61" s="493"/>
      <c r="AO61" s="493"/>
      <c r="AP61" s="493"/>
      <c r="AQ61" s="493"/>
      <c r="AR61" s="493"/>
      <c r="AS61" s="493"/>
      <c r="AT61" s="493"/>
      <c r="AU61" s="493"/>
      <c r="AV61" s="493">
        <v>595.15062454077884</v>
      </c>
      <c r="AW61" s="493"/>
      <c r="AX61" s="493"/>
      <c r="AY61" s="493">
        <v>595</v>
      </c>
      <c r="AZ61" s="493"/>
      <c r="BA61" s="493"/>
      <c r="BB61" s="493">
        <v>263.89119592500009</v>
      </c>
      <c r="BC61" s="493"/>
      <c r="BD61" s="493"/>
      <c r="BE61" s="493">
        <v>319.58999999999997</v>
      </c>
      <c r="BF61" s="493"/>
      <c r="BG61" s="493"/>
      <c r="BH61" s="493">
        <v>231.22475</v>
      </c>
      <c r="BI61" s="493"/>
      <c r="BJ61" s="493"/>
      <c r="BK61" s="493"/>
      <c r="BL61" s="493"/>
      <c r="BM61" s="493"/>
      <c r="BN61" s="493"/>
      <c r="BO61" s="493"/>
      <c r="BP61" s="493"/>
      <c r="BQ61" s="493"/>
      <c r="BR61" s="493"/>
      <c r="BS61" s="493"/>
      <c r="BT61" s="493"/>
      <c r="BU61" s="493">
        <v>280000</v>
      </c>
      <c r="BV61" s="493"/>
      <c r="BW61" s="493"/>
      <c r="BX61" s="493">
        <v>2488.7905000000001</v>
      </c>
      <c r="BY61" s="493"/>
      <c r="BZ61" s="493"/>
      <c r="CA61" s="493">
        <v>2134</v>
      </c>
      <c r="CB61" s="493"/>
      <c r="CC61" s="493"/>
      <c r="CD61" s="493"/>
      <c r="CE61" s="493"/>
      <c r="CF61" s="493"/>
      <c r="CG61" s="493"/>
      <c r="CH61" s="493"/>
      <c r="CI61" s="493"/>
      <c r="CJ61" s="493"/>
      <c r="CK61" s="493"/>
      <c r="CL61" s="493"/>
      <c r="CM61" s="493"/>
      <c r="CN61" s="493">
        <v>21000</v>
      </c>
      <c r="CO61" s="493"/>
      <c r="CP61" s="493"/>
      <c r="CQ61" s="493">
        <v>6177.34</v>
      </c>
      <c r="CR61" s="493"/>
      <c r="CS61" s="493"/>
      <c r="CT61" s="493">
        <v>70.642861530930404</v>
      </c>
      <c r="CU61" s="493"/>
      <c r="CV61" s="493"/>
      <c r="CW61" s="493">
        <v>60</v>
      </c>
      <c r="CX61" s="493"/>
      <c r="CY61" s="493"/>
      <c r="CZ61" s="493">
        <v>218.02199999999999</v>
      </c>
      <c r="DA61" s="493"/>
      <c r="DB61" s="493"/>
      <c r="DC61" s="493">
        <v>515.38</v>
      </c>
      <c r="DD61" s="493"/>
      <c r="DE61" s="493"/>
      <c r="DF61" s="493"/>
      <c r="DG61" s="493"/>
      <c r="DH61" s="493"/>
      <c r="DI61" s="493"/>
    </row>
    <row r="62" spans="2:120" outlineLevel="1">
      <c r="D62" s="493">
        <v>260</v>
      </c>
      <c r="E62" s="493"/>
      <c r="F62" s="493"/>
      <c r="G62" s="493">
        <v>140</v>
      </c>
      <c r="H62" s="493"/>
      <c r="I62" s="493"/>
      <c r="J62" s="493">
        <v>120.9974</v>
      </c>
      <c r="K62" s="493"/>
      <c r="L62" s="493"/>
      <c r="M62" s="493">
        <v>3.8</v>
      </c>
      <c r="N62" s="493"/>
      <c r="O62" s="493"/>
      <c r="P62" s="493"/>
      <c r="Q62" s="493"/>
      <c r="R62" s="493"/>
      <c r="S62" s="493"/>
      <c r="T62" s="493"/>
      <c r="U62" s="493"/>
      <c r="V62" s="493"/>
      <c r="W62" s="493"/>
      <c r="X62" s="493"/>
      <c r="Y62" s="493"/>
      <c r="Z62" s="493">
        <v>70000</v>
      </c>
      <c r="AA62" s="493"/>
      <c r="AB62" s="493"/>
      <c r="AC62" s="493">
        <v>8000</v>
      </c>
      <c r="AD62" s="493"/>
      <c r="AE62" s="493"/>
      <c r="AF62" s="493">
        <v>68</v>
      </c>
      <c r="AG62" s="493"/>
      <c r="AH62" s="493"/>
      <c r="AI62" s="493">
        <v>87</v>
      </c>
      <c r="AJ62" s="493"/>
      <c r="AK62" s="493"/>
      <c r="AL62" s="493">
        <v>820.33</v>
      </c>
      <c r="AM62" s="493"/>
      <c r="AN62" s="493"/>
      <c r="AO62" s="493"/>
      <c r="AP62" s="493"/>
      <c r="AQ62" s="493"/>
      <c r="AR62" s="493"/>
      <c r="AS62" s="493"/>
      <c r="AT62" s="493"/>
      <c r="AU62" s="493"/>
      <c r="AV62" s="493">
        <v>750</v>
      </c>
      <c r="AW62" s="493"/>
      <c r="AX62" s="493"/>
      <c r="AY62" s="493">
        <v>930</v>
      </c>
      <c r="AZ62" s="493"/>
      <c r="BA62" s="493"/>
      <c r="BB62" s="493"/>
      <c r="BC62" s="493"/>
      <c r="BD62" s="493"/>
      <c r="BE62" s="493"/>
      <c r="BF62" s="493"/>
      <c r="BG62" s="493"/>
      <c r="BH62" s="493">
        <v>812.7628825531915</v>
      </c>
      <c r="BI62" s="493"/>
      <c r="BJ62" s="493"/>
      <c r="BK62" s="493"/>
      <c r="BL62" s="493"/>
      <c r="BM62" s="493"/>
      <c r="BN62" s="493"/>
      <c r="BO62" s="493"/>
      <c r="BP62" s="493"/>
      <c r="BQ62" s="493"/>
      <c r="BR62" s="493"/>
      <c r="BS62" s="493"/>
      <c r="BT62" s="493"/>
      <c r="BU62" s="493">
        <v>640000</v>
      </c>
      <c r="BV62" s="493"/>
      <c r="BW62" s="493"/>
      <c r="BX62" s="493">
        <v>3404.81</v>
      </c>
      <c r="BY62" s="493"/>
      <c r="BZ62" s="493"/>
      <c r="CA62" s="493">
        <v>2489</v>
      </c>
      <c r="CB62" s="493"/>
      <c r="CC62" s="493"/>
      <c r="CD62" s="493"/>
      <c r="CE62" s="493"/>
      <c r="CF62" s="493"/>
      <c r="CG62" s="493"/>
      <c r="CH62" s="493"/>
      <c r="CI62" s="493"/>
      <c r="CJ62" s="493"/>
      <c r="CK62" s="493"/>
      <c r="CL62" s="493"/>
      <c r="CM62" s="493"/>
      <c r="CN62" s="493"/>
      <c r="CO62" s="493"/>
      <c r="CP62" s="493"/>
      <c r="CQ62" s="493">
        <v>16000</v>
      </c>
      <c r="CR62" s="493"/>
      <c r="CS62" s="493"/>
      <c r="CT62" s="493">
        <v>100.25</v>
      </c>
      <c r="CU62" s="493"/>
      <c r="CV62" s="493"/>
      <c r="CW62" s="493">
        <v>85.68</v>
      </c>
      <c r="CX62" s="493"/>
      <c r="CY62" s="493"/>
      <c r="CZ62" s="493"/>
      <c r="DA62" s="493"/>
      <c r="DB62" s="493"/>
      <c r="DC62" s="493"/>
      <c r="DD62" s="493"/>
      <c r="DE62" s="493"/>
      <c r="DF62" s="493"/>
      <c r="DG62" s="493"/>
      <c r="DH62" s="493"/>
      <c r="DI62" s="493"/>
    </row>
    <row r="63" spans="2:120" outlineLevel="1">
      <c r="D63" s="493">
        <v>560</v>
      </c>
      <c r="E63" s="493"/>
      <c r="F63" s="493"/>
      <c r="G63" s="493">
        <v>220</v>
      </c>
      <c r="H63" s="493"/>
      <c r="I63" s="493"/>
      <c r="J63" s="493"/>
      <c r="K63" s="493"/>
      <c r="L63" s="493"/>
      <c r="M63" s="493">
        <v>5.71</v>
      </c>
      <c r="N63" s="493"/>
      <c r="O63" s="493"/>
      <c r="P63" s="493"/>
      <c r="Q63" s="493"/>
      <c r="R63" s="493"/>
      <c r="S63" s="493"/>
      <c r="T63" s="493"/>
      <c r="U63" s="493"/>
      <c r="V63" s="493"/>
      <c r="W63" s="493"/>
      <c r="X63" s="493"/>
      <c r="Y63" s="493"/>
      <c r="Z63" s="493">
        <v>73000</v>
      </c>
      <c r="AA63" s="493"/>
      <c r="AB63" s="493"/>
      <c r="AC63" s="493">
        <v>52000</v>
      </c>
      <c r="AD63" s="493"/>
      <c r="AE63" s="493"/>
      <c r="AF63" s="493">
        <v>820</v>
      </c>
      <c r="AG63" s="493"/>
      <c r="AH63" s="493"/>
      <c r="AI63" s="493">
        <v>850</v>
      </c>
      <c r="AJ63" s="493"/>
      <c r="AK63" s="493"/>
      <c r="AL63" s="493"/>
      <c r="AM63" s="493"/>
      <c r="AN63" s="493"/>
      <c r="AO63" s="493"/>
      <c r="AP63" s="493"/>
      <c r="AQ63" s="493"/>
      <c r="AR63" s="493"/>
      <c r="AS63" s="493"/>
      <c r="AT63" s="493"/>
      <c r="AU63" s="493"/>
      <c r="AV63" s="493">
        <v>1500</v>
      </c>
      <c r="AW63" s="493"/>
      <c r="AX63" s="493"/>
      <c r="AY63" s="493">
        <v>1000</v>
      </c>
      <c r="AZ63" s="493"/>
      <c r="BA63" s="493"/>
      <c r="BB63" s="493"/>
      <c r="BC63" s="493"/>
      <c r="BD63" s="493"/>
      <c r="BE63" s="493"/>
      <c r="BF63" s="493"/>
      <c r="BG63" s="493"/>
      <c r="BH63" s="493"/>
      <c r="BI63" s="493"/>
      <c r="BJ63" s="493"/>
      <c r="BK63" s="493"/>
      <c r="BL63" s="493"/>
      <c r="BM63" s="493"/>
      <c r="BN63" s="493"/>
      <c r="BO63" s="493"/>
      <c r="BP63" s="493"/>
      <c r="BQ63" s="493"/>
      <c r="BR63" s="493"/>
      <c r="BS63" s="493"/>
      <c r="BT63" s="493"/>
      <c r="BU63" s="493"/>
      <c r="BV63" s="493"/>
      <c r="BW63" s="493"/>
      <c r="BX63" s="493">
        <v>7407.5834000000004</v>
      </c>
      <c r="BY63" s="493"/>
      <c r="BZ63" s="493"/>
      <c r="CA63" s="493">
        <v>3487</v>
      </c>
      <c r="CB63" s="493"/>
      <c r="CC63" s="493"/>
      <c r="CD63" s="493"/>
      <c r="CE63" s="493"/>
      <c r="CF63" s="493"/>
      <c r="CG63" s="493"/>
      <c r="CH63" s="493"/>
      <c r="CI63" s="493"/>
      <c r="CJ63" s="493"/>
      <c r="CK63" s="493"/>
      <c r="CL63" s="493"/>
      <c r="CM63" s="493"/>
      <c r="CN63" s="493"/>
      <c r="CO63" s="493"/>
      <c r="CP63" s="493"/>
      <c r="CQ63" s="493">
        <v>21000</v>
      </c>
      <c r="CR63" s="493"/>
      <c r="CS63" s="493"/>
      <c r="CT63" s="493">
        <v>121.35868000000001</v>
      </c>
      <c r="CU63" s="493"/>
      <c r="CV63" s="493"/>
      <c r="CW63" s="493">
        <v>183.38744</v>
      </c>
      <c r="CX63" s="493"/>
      <c r="CY63" s="493"/>
      <c r="CZ63" s="493"/>
      <c r="DA63" s="493"/>
      <c r="DB63" s="493"/>
      <c r="DC63" s="493"/>
      <c r="DD63" s="493"/>
      <c r="DE63" s="493"/>
      <c r="DF63" s="493"/>
      <c r="DG63" s="493"/>
      <c r="DH63" s="493"/>
      <c r="DI63" s="493"/>
    </row>
    <row r="64" spans="2:120" outlineLevel="1">
      <c r="D64" s="493">
        <v>600</v>
      </c>
      <c r="E64" s="493"/>
      <c r="F64" s="493"/>
      <c r="G64" s="493">
        <v>260</v>
      </c>
      <c r="H64" s="493"/>
      <c r="I64" s="493"/>
      <c r="J64" s="493"/>
      <c r="K64" s="493"/>
      <c r="L64" s="493"/>
      <c r="M64" s="493">
        <v>9.51</v>
      </c>
      <c r="N64" s="493"/>
      <c r="O64" s="493"/>
      <c r="P64" s="493"/>
      <c r="Q64" s="493"/>
      <c r="R64" s="493"/>
      <c r="S64" s="493"/>
      <c r="T64" s="493"/>
      <c r="U64" s="493"/>
      <c r="V64" s="493"/>
      <c r="W64" s="493"/>
      <c r="X64" s="493"/>
      <c r="Y64" s="493"/>
      <c r="Z64" s="493">
        <v>90000</v>
      </c>
      <c r="AA64" s="493"/>
      <c r="AB64" s="493"/>
      <c r="AC64" s="493">
        <v>74000</v>
      </c>
      <c r="AD64" s="493"/>
      <c r="AE64" s="493"/>
      <c r="AF64" s="493"/>
      <c r="AG64" s="493"/>
      <c r="AH64" s="493"/>
      <c r="AI64" s="493"/>
      <c r="AJ64" s="493"/>
      <c r="AK64" s="493"/>
      <c r="AL64" s="493"/>
      <c r="AM64" s="493"/>
      <c r="AN64" s="493"/>
      <c r="AO64" s="493"/>
      <c r="AP64" s="493"/>
      <c r="AQ64" s="493"/>
      <c r="AR64" s="493"/>
      <c r="AS64" s="493"/>
      <c r="AT64" s="493"/>
      <c r="AU64" s="493"/>
      <c r="AV64" s="493">
        <v>2200</v>
      </c>
      <c r="AW64" s="493"/>
      <c r="AX64" s="493"/>
      <c r="AY64" s="493">
        <v>2000</v>
      </c>
      <c r="AZ64" s="493"/>
      <c r="BA64" s="493"/>
      <c r="BB64" s="493"/>
      <c r="BC64" s="493"/>
      <c r="BD64" s="493"/>
      <c r="BE64" s="493"/>
      <c r="BF64" s="493"/>
      <c r="BG64" s="493"/>
      <c r="BH64" s="493"/>
      <c r="BI64" s="493"/>
      <c r="BJ64" s="493"/>
      <c r="BK64" s="493"/>
      <c r="BL64" s="493"/>
      <c r="BM64" s="493"/>
      <c r="BN64" s="493"/>
      <c r="BO64" s="493"/>
      <c r="BP64" s="493"/>
      <c r="BQ64" s="493"/>
      <c r="BR64" s="493"/>
      <c r="BS64" s="493"/>
      <c r="BT64" s="493"/>
      <c r="BU64" s="493"/>
      <c r="BV64" s="493"/>
      <c r="BW64" s="493"/>
      <c r="BX64" s="493"/>
      <c r="BY64" s="493"/>
      <c r="BZ64" s="493"/>
      <c r="CA64" s="493">
        <v>7612</v>
      </c>
      <c r="CB64" s="493"/>
      <c r="CC64" s="493"/>
      <c r="CD64" s="493"/>
      <c r="CE64" s="493"/>
      <c r="CF64" s="493"/>
      <c r="CG64" s="493"/>
      <c r="CH64" s="493"/>
      <c r="CI64" s="493"/>
      <c r="CJ64" s="493"/>
      <c r="CK64" s="493"/>
      <c r="CL64" s="493"/>
      <c r="CM64" s="493"/>
      <c r="CN64" s="493"/>
      <c r="CO64" s="493"/>
      <c r="CP64" s="493"/>
      <c r="CQ64" s="493">
        <v>21381.0645</v>
      </c>
      <c r="CR64" s="493"/>
      <c r="CS64" s="493"/>
      <c r="CT64" s="493">
        <v>154</v>
      </c>
      <c r="CU64" s="493"/>
      <c r="CV64" s="493"/>
      <c r="CW64" s="493">
        <v>205.7</v>
      </c>
      <c r="CX64" s="493"/>
      <c r="CY64" s="493"/>
      <c r="CZ64" s="493"/>
      <c r="DA64" s="493"/>
      <c r="DB64" s="493"/>
      <c r="DC64" s="493"/>
      <c r="DD64" s="493"/>
      <c r="DE64" s="493"/>
      <c r="DF64" s="493"/>
      <c r="DG64" s="493"/>
      <c r="DH64" s="493"/>
      <c r="DI64" s="493"/>
    </row>
    <row r="65" spans="4:113" outlineLevel="1">
      <c r="D65" s="493">
        <v>3500</v>
      </c>
      <c r="E65" s="493"/>
      <c r="F65" s="493"/>
      <c r="G65" s="493">
        <v>600</v>
      </c>
      <c r="H65" s="493"/>
      <c r="I65" s="493"/>
      <c r="J65" s="493"/>
      <c r="K65" s="493"/>
      <c r="L65" s="493"/>
      <c r="M65" s="493">
        <v>138.9</v>
      </c>
      <c r="N65" s="493"/>
      <c r="O65" s="493"/>
      <c r="P65" s="493"/>
      <c r="Q65" s="493"/>
      <c r="R65" s="493"/>
      <c r="S65" s="493"/>
      <c r="T65" s="493"/>
      <c r="U65" s="493"/>
      <c r="V65" s="493"/>
      <c r="W65" s="493"/>
      <c r="X65" s="493"/>
      <c r="Y65" s="493"/>
      <c r="Z65" s="493"/>
      <c r="AA65" s="493"/>
      <c r="AB65" s="493"/>
      <c r="AC65" s="493"/>
      <c r="AD65" s="493"/>
      <c r="AE65" s="493"/>
      <c r="AF65" s="493"/>
      <c r="AG65" s="493"/>
      <c r="AH65" s="493"/>
      <c r="AI65" s="493"/>
      <c r="AJ65" s="493"/>
      <c r="AK65" s="493"/>
      <c r="AL65" s="493"/>
      <c r="AM65" s="493"/>
      <c r="AN65" s="493"/>
      <c r="AO65" s="493"/>
      <c r="AP65" s="493"/>
      <c r="AQ65" s="493"/>
      <c r="AR65" s="493"/>
      <c r="AS65" s="493"/>
      <c r="AT65" s="493"/>
      <c r="AU65" s="493"/>
      <c r="AV65" s="493">
        <v>3800</v>
      </c>
      <c r="AW65" s="493"/>
      <c r="AX65" s="493"/>
      <c r="AY65" s="493">
        <v>2700</v>
      </c>
      <c r="AZ65" s="493"/>
      <c r="BA65" s="493"/>
      <c r="BB65" s="493"/>
      <c r="BC65" s="493"/>
      <c r="BD65" s="493"/>
      <c r="BE65" s="493"/>
      <c r="BF65" s="493"/>
      <c r="BG65" s="493"/>
      <c r="BH65" s="493"/>
      <c r="BI65" s="493"/>
      <c r="BJ65" s="493"/>
      <c r="BK65" s="493"/>
      <c r="BL65" s="493"/>
      <c r="BM65" s="493"/>
      <c r="BN65" s="493"/>
      <c r="BO65" s="493"/>
      <c r="BP65" s="493"/>
      <c r="BQ65" s="493"/>
      <c r="BR65" s="493"/>
      <c r="BS65" s="493"/>
      <c r="BT65" s="493"/>
      <c r="BU65" s="493"/>
      <c r="BV65" s="493"/>
      <c r="BW65" s="493"/>
      <c r="BX65" s="493"/>
      <c r="BY65" s="493"/>
      <c r="BZ65" s="493"/>
      <c r="CA65" s="493"/>
      <c r="CB65" s="493"/>
      <c r="CC65" s="493"/>
      <c r="CD65" s="493"/>
      <c r="CE65" s="493"/>
      <c r="CF65" s="493"/>
      <c r="CG65" s="493"/>
      <c r="CH65" s="493"/>
      <c r="CI65" s="493"/>
      <c r="CJ65" s="493"/>
      <c r="CK65" s="493"/>
      <c r="CL65" s="493"/>
      <c r="CM65" s="493"/>
      <c r="CN65" s="493"/>
      <c r="CO65" s="493"/>
      <c r="CP65" s="493"/>
      <c r="CQ65" s="493"/>
      <c r="CR65" s="493"/>
      <c r="CS65" s="493"/>
      <c r="CT65" s="493">
        <v>165.85918626368999</v>
      </c>
      <c r="CU65" s="493"/>
      <c r="CV65" s="493"/>
      <c r="CW65" s="493">
        <v>220.5975</v>
      </c>
      <c r="CX65" s="493"/>
      <c r="CY65" s="493"/>
      <c r="CZ65" s="493"/>
      <c r="DA65" s="493"/>
      <c r="DB65" s="493"/>
      <c r="DC65" s="493"/>
      <c r="DD65" s="493"/>
      <c r="DE65" s="493"/>
      <c r="DF65" s="493"/>
      <c r="DG65" s="493"/>
      <c r="DH65" s="493"/>
      <c r="DI65" s="493"/>
    </row>
    <row r="66" spans="4:113" outlineLevel="1">
      <c r="D66" s="493"/>
      <c r="E66" s="493"/>
      <c r="F66" s="493"/>
      <c r="G66" s="493">
        <v>1500</v>
      </c>
      <c r="H66" s="493"/>
      <c r="I66" s="493"/>
      <c r="J66" s="493"/>
      <c r="K66" s="493"/>
      <c r="L66" s="493"/>
      <c r="M66" s="493"/>
      <c r="N66" s="493"/>
      <c r="O66" s="493"/>
      <c r="P66" s="493"/>
      <c r="Q66" s="493"/>
      <c r="R66" s="493"/>
      <c r="S66" s="493"/>
      <c r="T66" s="493"/>
      <c r="U66" s="493"/>
      <c r="V66" s="493"/>
      <c r="W66" s="493"/>
      <c r="X66" s="493"/>
      <c r="Y66" s="493"/>
      <c r="Z66" s="493"/>
      <c r="AA66" s="493"/>
      <c r="AB66" s="493"/>
      <c r="AC66" s="493"/>
      <c r="AD66" s="493"/>
      <c r="AE66" s="493"/>
      <c r="AF66" s="493"/>
      <c r="AG66" s="493"/>
      <c r="AH66" s="493"/>
      <c r="AI66" s="493"/>
      <c r="AJ66" s="493"/>
      <c r="AK66" s="493"/>
      <c r="AL66" s="493"/>
      <c r="AM66" s="493"/>
      <c r="AN66" s="493"/>
      <c r="AO66" s="493"/>
      <c r="AP66" s="493"/>
      <c r="AQ66" s="493"/>
      <c r="AR66" s="493"/>
      <c r="AS66" s="493"/>
      <c r="AT66" s="493"/>
      <c r="AU66" s="493"/>
      <c r="AV66" s="493">
        <v>9200</v>
      </c>
      <c r="AW66" s="493"/>
      <c r="AX66" s="493"/>
      <c r="AY66" s="493">
        <v>6200</v>
      </c>
      <c r="AZ66" s="493"/>
      <c r="BA66" s="493"/>
      <c r="BB66" s="493"/>
      <c r="BC66" s="493"/>
      <c r="BD66" s="493"/>
      <c r="BE66" s="493"/>
      <c r="BF66" s="493"/>
      <c r="BG66" s="493"/>
      <c r="BH66" s="493"/>
      <c r="BI66" s="493"/>
      <c r="BJ66" s="493"/>
      <c r="BK66" s="493"/>
      <c r="BL66" s="493"/>
      <c r="BM66" s="493"/>
      <c r="BN66" s="493"/>
      <c r="BO66" s="493"/>
      <c r="BP66" s="493"/>
      <c r="BQ66" s="493"/>
      <c r="BR66" s="493"/>
      <c r="BS66" s="493"/>
      <c r="BT66" s="493"/>
      <c r="BU66" s="493"/>
      <c r="BV66" s="493"/>
      <c r="BW66" s="493"/>
      <c r="BX66" s="493"/>
      <c r="BY66" s="493"/>
      <c r="BZ66" s="493"/>
      <c r="CA66" s="493"/>
      <c r="CB66" s="493"/>
      <c r="CC66" s="493"/>
      <c r="CD66" s="493"/>
      <c r="CE66" s="493"/>
      <c r="CF66" s="493"/>
      <c r="CG66" s="493"/>
      <c r="CH66" s="493"/>
      <c r="CI66" s="493"/>
      <c r="CJ66" s="493"/>
      <c r="CK66" s="493"/>
      <c r="CL66" s="493"/>
      <c r="CM66" s="493"/>
      <c r="CN66" s="493"/>
      <c r="CO66" s="493"/>
      <c r="CP66" s="493"/>
      <c r="CQ66" s="493"/>
      <c r="CR66" s="493"/>
      <c r="CS66" s="493"/>
      <c r="CT66" s="493"/>
      <c r="CU66" s="493"/>
      <c r="CV66" s="493"/>
      <c r="CW66" s="493">
        <v>301.52999999999997</v>
      </c>
      <c r="CX66" s="493"/>
      <c r="CY66" s="493"/>
      <c r="CZ66" s="493"/>
      <c r="DA66" s="493"/>
      <c r="DB66" s="493"/>
      <c r="DC66" s="493"/>
      <c r="DD66" s="493"/>
      <c r="DE66" s="493"/>
      <c r="DF66" s="493"/>
      <c r="DG66" s="493"/>
      <c r="DH66" s="493"/>
      <c r="DI66" s="493"/>
    </row>
    <row r="67" spans="4:113" outlineLevel="1">
      <c r="D67" s="493"/>
      <c r="E67" s="493"/>
      <c r="F67" s="493"/>
      <c r="G67" s="493">
        <v>4000</v>
      </c>
      <c r="H67" s="493"/>
      <c r="I67" s="493"/>
      <c r="J67" s="493"/>
      <c r="K67" s="493"/>
      <c r="L67" s="493"/>
      <c r="M67" s="493"/>
      <c r="N67" s="493"/>
      <c r="O67" s="493"/>
      <c r="P67" s="493"/>
      <c r="Q67" s="493"/>
      <c r="R67" s="493"/>
      <c r="S67" s="493"/>
      <c r="T67" s="493"/>
      <c r="U67" s="493"/>
      <c r="V67" s="493"/>
      <c r="W67" s="493"/>
      <c r="X67" s="493"/>
      <c r="Y67" s="493"/>
      <c r="Z67" s="493"/>
      <c r="AA67" s="493"/>
      <c r="AB67" s="493"/>
      <c r="AC67" s="493"/>
      <c r="AD67" s="493"/>
      <c r="AE67" s="493"/>
      <c r="AF67" s="493"/>
      <c r="AG67" s="493"/>
      <c r="AH67" s="493"/>
      <c r="AI67" s="493"/>
      <c r="AJ67" s="493"/>
      <c r="AK67" s="493"/>
      <c r="AL67" s="493"/>
      <c r="AM67" s="493"/>
      <c r="AN67" s="493"/>
      <c r="AO67" s="493"/>
      <c r="AP67" s="493"/>
      <c r="AQ67" s="493"/>
      <c r="AR67" s="493"/>
      <c r="AS67" s="493"/>
      <c r="AT67" s="493"/>
      <c r="AU67" s="493"/>
      <c r="AV67" s="493"/>
      <c r="AW67" s="493"/>
      <c r="AX67" s="493"/>
      <c r="AY67" s="493">
        <v>9300</v>
      </c>
      <c r="AZ67" s="493"/>
      <c r="BA67" s="493"/>
      <c r="BB67" s="493"/>
      <c r="BC67" s="493"/>
      <c r="BD67" s="493"/>
      <c r="BE67" s="493"/>
      <c r="BF67" s="493"/>
      <c r="BG67" s="493"/>
      <c r="BH67" s="493"/>
      <c r="BI67" s="493"/>
      <c r="BJ67" s="493"/>
      <c r="BK67" s="493"/>
      <c r="BL67" s="493"/>
      <c r="BM67" s="493"/>
      <c r="BN67" s="493"/>
      <c r="BO67" s="493"/>
      <c r="BP67" s="493"/>
      <c r="BQ67" s="493"/>
      <c r="BR67" s="493"/>
      <c r="BS67" s="493"/>
      <c r="BT67" s="493"/>
      <c r="BU67" s="493"/>
      <c r="BV67" s="493"/>
      <c r="BW67" s="493"/>
      <c r="BX67" s="493"/>
      <c r="BY67" s="493"/>
      <c r="BZ67" s="493"/>
      <c r="CA67" s="493"/>
      <c r="CB67" s="493"/>
      <c r="CC67" s="493"/>
      <c r="CD67" s="493"/>
      <c r="CE67" s="493"/>
      <c r="CF67" s="493"/>
      <c r="CG67" s="493"/>
      <c r="CH67" s="493"/>
      <c r="CI67" s="493"/>
      <c r="CJ67" s="493"/>
      <c r="CK67" s="493"/>
      <c r="CL67" s="493"/>
      <c r="CM67" s="493"/>
      <c r="CN67" s="493"/>
      <c r="CO67" s="493"/>
      <c r="CP67" s="493"/>
      <c r="CQ67" s="493"/>
      <c r="CR67" s="493"/>
      <c r="CS67" s="493"/>
      <c r="CT67" s="493"/>
      <c r="CU67" s="493"/>
      <c r="CV67" s="493"/>
      <c r="CW67" s="493"/>
      <c r="CX67" s="493"/>
      <c r="CY67" s="493"/>
      <c r="CZ67" s="493"/>
      <c r="DA67" s="493"/>
      <c r="DB67" s="493"/>
      <c r="DC67" s="493"/>
      <c r="DD67" s="493"/>
      <c r="DE67" s="493"/>
      <c r="DF67" s="493"/>
      <c r="DG67" s="493"/>
      <c r="DH67" s="493"/>
      <c r="DI67" s="493"/>
    </row>
    <row r="68" spans="4:113" outlineLevel="1">
      <c r="D68" s="493"/>
      <c r="E68" s="493"/>
      <c r="F68" s="493"/>
      <c r="G68" s="493"/>
      <c r="H68" s="493"/>
      <c r="I68" s="493"/>
      <c r="J68" s="493"/>
      <c r="K68" s="493"/>
      <c r="L68" s="493"/>
      <c r="M68" s="493"/>
      <c r="N68" s="493"/>
      <c r="O68" s="493"/>
      <c r="P68" s="493"/>
      <c r="Q68" s="493"/>
      <c r="R68" s="493"/>
      <c r="S68" s="493"/>
      <c r="T68" s="493"/>
      <c r="U68" s="493"/>
      <c r="V68" s="493"/>
      <c r="W68" s="493"/>
      <c r="X68" s="493"/>
      <c r="Y68" s="493"/>
      <c r="Z68" s="493"/>
      <c r="AA68" s="493"/>
      <c r="AB68" s="493"/>
      <c r="AC68" s="493"/>
      <c r="AD68" s="493"/>
      <c r="AE68" s="493"/>
      <c r="AF68" s="493"/>
      <c r="AG68" s="493"/>
      <c r="AH68" s="493"/>
      <c r="AI68" s="493"/>
      <c r="AJ68" s="493"/>
      <c r="AK68" s="493"/>
      <c r="AL68" s="493"/>
      <c r="AM68" s="493"/>
      <c r="AN68" s="493"/>
      <c r="AO68" s="493"/>
      <c r="AP68" s="493"/>
      <c r="AQ68" s="493"/>
      <c r="AR68" s="493"/>
      <c r="AS68" s="493"/>
      <c r="AT68" s="493"/>
      <c r="AU68" s="493"/>
      <c r="AV68" s="493"/>
      <c r="AW68" s="493"/>
      <c r="AX68" s="493"/>
      <c r="AY68" s="493"/>
      <c r="AZ68" s="493"/>
      <c r="BA68" s="493"/>
      <c r="BB68" s="493"/>
      <c r="BC68" s="493"/>
      <c r="BD68" s="493"/>
      <c r="BE68" s="493"/>
      <c r="BF68" s="493"/>
      <c r="BG68" s="493"/>
      <c r="BH68" s="493"/>
      <c r="BI68" s="493"/>
      <c r="BJ68" s="493"/>
      <c r="BK68" s="493"/>
      <c r="BL68" s="493"/>
      <c r="BM68" s="493"/>
      <c r="BN68" s="493"/>
      <c r="BO68" s="493"/>
      <c r="BP68" s="493"/>
      <c r="BQ68" s="493"/>
      <c r="BR68" s="493"/>
      <c r="BS68" s="493"/>
      <c r="BT68" s="493"/>
      <c r="BU68" s="493"/>
      <c r="BV68" s="493"/>
      <c r="BW68" s="493"/>
      <c r="BX68" s="493"/>
      <c r="BY68" s="493"/>
      <c r="BZ68" s="493"/>
      <c r="CA68" s="493"/>
      <c r="CB68" s="493"/>
      <c r="CC68" s="493"/>
      <c r="CD68" s="493"/>
      <c r="CE68" s="493"/>
      <c r="CF68" s="493"/>
      <c r="CG68" s="493"/>
      <c r="CH68" s="493"/>
      <c r="CI68" s="493"/>
      <c r="CJ68" s="493"/>
      <c r="CK68" s="493"/>
      <c r="CL68" s="493"/>
      <c r="CM68" s="493"/>
      <c r="CN68" s="493"/>
      <c r="CO68" s="493"/>
      <c r="CP68" s="493"/>
      <c r="CQ68" s="493"/>
      <c r="CR68" s="493"/>
      <c r="CS68" s="493"/>
      <c r="CT68" s="493"/>
      <c r="CU68" s="493"/>
      <c r="CV68" s="493"/>
      <c r="CW68" s="493"/>
      <c r="CX68" s="493"/>
      <c r="CY68" s="493"/>
      <c r="CZ68" s="493"/>
      <c r="DA68" s="493"/>
      <c r="DB68" s="493"/>
      <c r="DC68" s="493"/>
      <c r="DD68" s="493"/>
      <c r="DE68" s="493"/>
      <c r="DF68" s="493"/>
      <c r="DG68" s="493"/>
      <c r="DH68" s="493"/>
      <c r="DI68" s="493"/>
    </row>
    <row r="69" spans="4:113">
      <c r="D69" s="493"/>
      <c r="E69" s="493"/>
      <c r="F69" s="493"/>
      <c r="G69" s="493">
        <f>_xlfn.PERCENTILE.EXC(_xlfn.ANCHORARRAY(G54),0.2)</f>
        <v>10</v>
      </c>
      <c r="H69" s="493"/>
      <c r="I69" s="493"/>
      <c r="J69" s="493"/>
      <c r="K69" s="493"/>
      <c r="L69" s="493"/>
      <c r="M69" s="493"/>
      <c r="N69" s="493"/>
      <c r="O69" s="493"/>
      <c r="P69" s="493"/>
      <c r="Q69" s="493"/>
      <c r="R69" s="493"/>
      <c r="S69" s="493"/>
      <c r="T69" s="493"/>
      <c r="U69" s="493"/>
      <c r="V69" s="493"/>
      <c r="W69" s="493"/>
      <c r="X69" s="493"/>
      <c r="Y69" s="493"/>
      <c r="Z69" s="493"/>
      <c r="AA69" s="493"/>
      <c r="AB69" s="493"/>
      <c r="AC69" s="493"/>
      <c r="AD69" s="493"/>
      <c r="AE69" s="493"/>
      <c r="AF69" s="493"/>
      <c r="AG69" s="493"/>
      <c r="AH69" s="493"/>
      <c r="AI69" s="493"/>
      <c r="AJ69" s="493"/>
      <c r="AK69" s="493"/>
      <c r="AL69" s="493"/>
      <c r="AM69" s="493"/>
      <c r="AN69" s="493"/>
      <c r="AO69" s="493"/>
      <c r="AP69" s="493"/>
      <c r="AQ69" s="493"/>
      <c r="AR69" s="493"/>
      <c r="AS69" s="493"/>
      <c r="AT69" s="493"/>
      <c r="AU69" s="493"/>
      <c r="AV69" s="493"/>
      <c r="AW69" s="493"/>
      <c r="AX69" s="493"/>
      <c r="AY69" s="493"/>
      <c r="AZ69" s="493"/>
      <c r="BA69" s="493"/>
      <c r="BB69" s="493"/>
      <c r="BC69" s="493"/>
      <c r="BD69" s="493"/>
      <c r="BE69" s="493"/>
      <c r="BF69" s="493"/>
      <c r="BG69" s="493"/>
      <c r="BH69" s="493"/>
      <c r="BI69" s="493"/>
      <c r="BJ69" s="493"/>
      <c r="BK69" s="493"/>
      <c r="BL69" s="493"/>
      <c r="BM69" s="493"/>
      <c r="BN69" s="493"/>
      <c r="BO69" s="493"/>
      <c r="BP69" s="493"/>
      <c r="BQ69" s="493"/>
      <c r="BR69" s="493"/>
      <c r="BS69" s="493"/>
      <c r="BT69" s="493"/>
      <c r="BU69" s="493"/>
      <c r="BV69" s="493"/>
      <c r="BW69" s="493"/>
      <c r="BX69" s="493"/>
      <c r="BY69" s="493"/>
      <c r="BZ69" s="493"/>
      <c r="CA69" s="493"/>
      <c r="CB69" s="493"/>
      <c r="CC69" s="493"/>
      <c r="CD69" s="493"/>
      <c r="CE69" s="493"/>
      <c r="CF69" s="493"/>
      <c r="CG69" s="493"/>
      <c r="CH69" s="493"/>
      <c r="CI69" s="493"/>
      <c r="CJ69" s="493"/>
      <c r="CK69" s="493"/>
      <c r="CL69" s="493"/>
      <c r="CM69" s="493"/>
      <c r="CN69" s="493"/>
      <c r="CO69" s="493"/>
      <c r="CP69" s="493"/>
      <c r="CQ69" s="493"/>
      <c r="CR69" s="493"/>
      <c r="CS69" s="493"/>
      <c r="CT69" s="493"/>
      <c r="CU69" s="493"/>
      <c r="CV69" s="493"/>
      <c r="CW69" s="493"/>
      <c r="CX69" s="493"/>
      <c r="CY69" s="493"/>
      <c r="CZ69" s="493"/>
      <c r="DA69" s="493"/>
      <c r="DB69" s="493"/>
      <c r="DC69" s="493"/>
      <c r="DD69" s="493"/>
      <c r="DE69" s="493"/>
      <c r="DF69" s="493"/>
      <c r="DG69" s="493"/>
      <c r="DH69" s="493"/>
      <c r="DI69" s="493"/>
    </row>
  </sheetData>
  <sheetProtection formatCells="0"/>
  <mergeCells count="81">
    <mergeCell ref="DJ43:DK45"/>
    <mergeCell ref="B8:B12"/>
    <mergeCell ref="C8:C12"/>
    <mergeCell ref="D8:DN8"/>
    <mergeCell ref="DO8:DO12"/>
    <mergeCell ref="DF10:DI10"/>
    <mergeCell ref="BB10:BG10"/>
    <mergeCell ref="BH10:BM10"/>
    <mergeCell ref="BN10:BQ10"/>
    <mergeCell ref="BR10:BW10"/>
    <mergeCell ref="BX10:CC10"/>
    <mergeCell ref="CD10:CI10"/>
    <mergeCell ref="D11:F11"/>
    <mergeCell ref="G11:I11"/>
    <mergeCell ref="J11:L11"/>
    <mergeCell ref="M11:O11"/>
    <mergeCell ref="DP8:DP12"/>
    <mergeCell ref="D9:T9"/>
    <mergeCell ref="Z9:AQ9"/>
    <mergeCell ref="AV9:BM9"/>
    <mergeCell ref="BR9:CI9"/>
    <mergeCell ref="CN9:DE9"/>
    <mergeCell ref="DJ9:DN10"/>
    <mergeCell ref="D10:I10"/>
    <mergeCell ref="J10:O10"/>
    <mergeCell ref="P10:U10"/>
    <mergeCell ref="V10:Y10"/>
    <mergeCell ref="Z10:AE10"/>
    <mergeCell ref="AF10:AK10"/>
    <mergeCell ref="AL10:AQ10"/>
    <mergeCell ref="AR10:AU10"/>
    <mergeCell ref="AV10:BA10"/>
    <mergeCell ref="BP11:BQ11"/>
    <mergeCell ref="BR11:BT11"/>
    <mergeCell ref="BU11:BW11"/>
    <mergeCell ref="BX11:BZ11"/>
    <mergeCell ref="CA11:CC11"/>
    <mergeCell ref="S11:U11"/>
    <mergeCell ref="V11:W11"/>
    <mergeCell ref="X11:Y11"/>
    <mergeCell ref="Z11:AB11"/>
    <mergeCell ref="AC11:AE11"/>
    <mergeCell ref="CJ10:CM10"/>
    <mergeCell ref="CN10:CS10"/>
    <mergeCell ref="CG11:CI11"/>
    <mergeCell ref="CD11:CF11"/>
    <mergeCell ref="CT10:CY10"/>
    <mergeCell ref="CT11:CV11"/>
    <mergeCell ref="CQ11:CS11"/>
    <mergeCell ref="CZ10:DE10"/>
    <mergeCell ref="BN11:BO11"/>
    <mergeCell ref="AI11:AK11"/>
    <mergeCell ref="AL11:AN11"/>
    <mergeCell ref="AO11:AQ11"/>
    <mergeCell ref="AR11:AS11"/>
    <mergeCell ref="AT11:AU11"/>
    <mergeCell ref="AV11:AX11"/>
    <mergeCell ref="AY11:BA11"/>
    <mergeCell ref="BB11:BD11"/>
    <mergeCell ref="BE11:BG11"/>
    <mergeCell ref="BH11:BJ11"/>
    <mergeCell ref="BK11:BM11"/>
    <mergeCell ref="CL11:CM11"/>
    <mergeCell ref="CN11:CP11"/>
    <mergeCell ref="CJ11:CK11"/>
    <mergeCell ref="B54:C55"/>
    <mergeCell ref="DL11:DM11"/>
    <mergeCell ref="DN11:DN12"/>
    <mergeCell ref="B43:C43"/>
    <mergeCell ref="B44:C44"/>
    <mergeCell ref="B45:C45"/>
    <mergeCell ref="B46:B50"/>
    <mergeCell ref="DJ46:DN50"/>
    <mergeCell ref="CW11:CY11"/>
    <mergeCell ref="CZ11:DB11"/>
    <mergeCell ref="DC11:DE11"/>
    <mergeCell ref="DF11:DG11"/>
    <mergeCell ref="DH11:DI11"/>
    <mergeCell ref="DJ11:DK11"/>
    <mergeCell ref="P11:R11"/>
    <mergeCell ref="AF11:AH11"/>
  </mergeCells>
  <conditionalFormatting sqref="DN13:DN42">
    <cfRule type="cellIs" dxfId="14" priority="1" operator="equal">
      <formula>0</formula>
    </cfRule>
    <cfRule type="cellIs" dxfId="13" priority="2" operator="greaterThan">
      <formula>0</formula>
    </cfRule>
    <cfRule type="cellIs" dxfId="12" priority="3" operator="lessThan">
      <formula>0</formula>
    </cfRule>
  </conditionalFormatting>
  <hyperlinks>
    <hyperlink ref="A6" location="rng_Cover_Copyright" display="Subject to terms and conditions" xr:uid="{F24DC316-29D2-462B-9F3C-8FD04D20E307}"/>
  </hyperlink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DA403-4830-4B3D-830F-BACD1C18211D}">
  <sheetPr codeName="Sheet16"/>
  <dimension ref="A1:BA75"/>
  <sheetViews>
    <sheetView showGridLines="0" zoomScaleNormal="100" workbookViewId="0">
      <pane xSplit="4" ySplit="15" topLeftCell="E16" activePane="bottomRight" state="frozen"/>
      <selection activeCell="C61" sqref="C61"/>
      <selection pane="topRight" activeCell="C61" sqref="C61"/>
      <selection pane="bottomLeft" activeCell="C61" sqref="C61"/>
      <selection pane="bottomRight" activeCell="A2" sqref="A2"/>
    </sheetView>
  </sheetViews>
  <sheetFormatPr defaultColWidth="9.140625" defaultRowHeight="12.75" outlineLevelRow="1"/>
  <cols>
    <col min="1" max="1" width="10.7109375" style="21" customWidth="1"/>
    <col min="2" max="3" width="16.42578125" style="21" customWidth="1"/>
    <col min="4" max="4" width="10.140625" style="21" customWidth="1"/>
    <col min="5" max="7" width="9.85546875" style="21" customWidth="1"/>
    <col min="8" max="8" width="10.140625" style="21" customWidth="1"/>
    <col min="9" max="51" width="9.85546875" style="21" customWidth="1"/>
    <col min="52" max="53" width="16.42578125" style="21" customWidth="1"/>
    <col min="54" max="16384" width="9.140625" style="21"/>
  </cols>
  <sheetData>
    <row r="1" spans="1:53" s="24" customFormat="1" ht="38.1" customHeight="1">
      <c r="G1" s="24" t="str" cm="1">
        <f t="array" aca="1" ref="G1" ca="1">IFERROR(MID(CELL("filename",A1),FIND("]",CELL("filename",A1))+1,255),"(Becomes sheet name when saved; delete if not required.)")</f>
        <v>BatteryManufacturing</v>
      </c>
    </row>
    <row r="2" spans="1:53" s="34" customFormat="1"/>
    <row r="3" spans="1:53" s="34" customFormat="1" ht="15">
      <c r="A3" s="39" t="s">
        <v>19</v>
      </c>
      <c r="B3" s="20" t="s">
        <v>351</v>
      </c>
      <c r="C3" s="20"/>
      <c r="E3" s="494">
        <f>IF(E6="Score",IFERROR(VLOOKUP($G$1&amp;E5&amp;E4,RawData!$A$3:$I$22,8,FALSE),0),0)</f>
        <v>0</v>
      </c>
      <c r="F3" s="494">
        <f>IF(F6="Score",IFERROR(VLOOKUP($G$1&amp;F5&amp;F4,RawData!$A$3:$I$22,8,FALSE),0),0)</f>
        <v>0</v>
      </c>
      <c r="G3" s="494">
        <f ca="1">IF(G6="Score",IFERROR(VLOOKUP($G$1&amp;G5&amp;G4,RawData!$A$3:$I$22,8,FALSE),0),0)</f>
        <v>0.14285714285714288</v>
      </c>
      <c r="H3" s="494">
        <f>IF(H6="Score",IFERROR(VLOOKUP($G$1&amp;H5&amp;H4,RawData!$A$3:$I$22,8,FALSE),0),0)</f>
        <v>0</v>
      </c>
      <c r="I3" s="494">
        <f>IF(I6="Score",IFERROR(VLOOKUP($G$1&amp;I5&amp;I4,RawData!$A$3:$I$22,8,FALSE),0),0)</f>
        <v>0</v>
      </c>
      <c r="J3" s="494">
        <f ca="1">IF(J6="Score",IFERROR(VLOOKUP($G$1&amp;J5&amp;J4,RawData!$A$3:$I$22,8,FALSE),0),0)</f>
        <v>0.14285714285714288</v>
      </c>
      <c r="K3" s="494">
        <f>IF(K6="Score",IFERROR(VLOOKUP($G$1&amp;K5&amp;K4,RawData!$A$3:$I$22,8,FALSE),0),0)</f>
        <v>0</v>
      </c>
      <c r="L3" s="494">
        <f>IF(L6="Score",IFERROR(VLOOKUP($G$1&amp;L5&amp;L4,RawData!$A$3:$I$22,8,FALSE),0),0)</f>
        <v>0</v>
      </c>
      <c r="M3" s="494">
        <f ca="1">IF(M6="Score",IFERROR(VLOOKUP($G$1&amp;M5&amp;M4,RawData!$A$3:$I$22,8,FALSE),0),0)</f>
        <v>0.14285714285714288</v>
      </c>
      <c r="N3" s="494">
        <f>IF(N6="Score",IFERROR(VLOOKUP($G$1&amp;N5&amp;N4,RawData!$A$3:$I$22,8,FALSE),0),0)</f>
        <v>0</v>
      </c>
      <c r="O3" s="494">
        <f>IF(O6="Score",IFERROR(VLOOKUP($G$1&amp;O5&amp;O4,RawData!$A$3:$I$22,8,FALSE),0),0)</f>
        <v>0</v>
      </c>
      <c r="P3" s="494">
        <f ca="1">IF(P6="Score",IFERROR(VLOOKUP($G$1&amp;P5&amp;P4,RawData!$A$3:$I$22,8,FALSE),0),0)</f>
        <v>0.14285714285714288</v>
      </c>
      <c r="Q3" s="494">
        <f>IF(Q6="Score",IFERROR(VLOOKUP($G$1&amp;Q5&amp;Q4,RawData!$A$3:$I$22,8,FALSE),0),0)</f>
        <v>0</v>
      </c>
      <c r="R3" s="494">
        <f>IF(R6="Score",IFERROR(VLOOKUP($G$1&amp;R5&amp;R4,RawData!$A$3:$I$22,8,FALSE),0),0)</f>
        <v>0</v>
      </c>
      <c r="S3" s="494">
        <f ca="1">IF(S6="Score",IFERROR(VLOOKUP($G$1&amp;S5&amp;S4,RawData!$A$3:$I$22,8,FALSE),0),0)</f>
        <v>0.14285714285714288</v>
      </c>
      <c r="T3" s="494">
        <f>IF(T6="Score",IFERROR(VLOOKUP($G$1&amp;T5&amp;T4,RawData!$A$3:$I$22,8,FALSE),0),0)</f>
        <v>0</v>
      </c>
      <c r="U3" s="494">
        <f>IF(U6="Score",IFERROR(VLOOKUP($G$1&amp;U5&amp;U4,RawData!$A$3:$I$22,8,FALSE),0),0)</f>
        <v>0</v>
      </c>
      <c r="V3" s="494">
        <f ca="1">IF(V6="Score",IFERROR(VLOOKUP($G$1&amp;V5&amp;V4,RawData!$A$3:$I$22,8,FALSE),0),0)</f>
        <v>0.14285714285714288</v>
      </c>
      <c r="W3" s="494">
        <f>IF(W6="Score",IFERROR(VLOOKUP($G$1&amp;W5&amp;W4,RawData!$A$3:$I$22,8,FALSE),0),0)</f>
        <v>0</v>
      </c>
      <c r="X3" s="494">
        <f>IF(X6="Score",IFERROR(VLOOKUP($G$1&amp;X5&amp;X4,RawData!$A$3:$I$22,8,FALSE),0),0)</f>
        <v>0</v>
      </c>
      <c r="Y3" s="494">
        <f ca="1">IF(Y6="Score",IFERROR(VLOOKUP($G$1&amp;Y5&amp;Y4,RawData!$A$3:$I$22,8,FALSE),0),0)</f>
        <v>0.14285714285714288</v>
      </c>
      <c r="Z3" s="494">
        <f>IF(Z6="Score",IFERROR(VLOOKUP($G$1&amp;Z5&amp;Z4,RawData!$A$3:$I$22,8,FALSE),0),0)</f>
        <v>0</v>
      </c>
      <c r="AA3" s="494">
        <f>IF(AA6="Score",IFERROR(VLOOKUP($G$1&amp;AA5&amp;AA4,RawData!$A$3:$I$22,8,FALSE),0),0)</f>
        <v>0</v>
      </c>
      <c r="AB3" s="494">
        <f ca="1">IF(AB6="Score",IFERROR(VLOOKUP($G$1&amp;AB5&amp;AB4,RawData!$A$3:$I$22,8,FALSE),0),0)</f>
        <v>0.14285714285714288</v>
      </c>
      <c r="AC3" s="494">
        <f>IF(AC6="Score",IFERROR(VLOOKUP($G$1&amp;AC5&amp;AC4,RawData!$A$3:$I$22,8,FALSE),0),0)</f>
        <v>0</v>
      </c>
      <c r="AD3" s="494">
        <f>IF(AD6="Score",IFERROR(VLOOKUP($G$1&amp;AD5&amp;AD4,RawData!$A$3:$I$22,8,FALSE),0),0)</f>
        <v>0</v>
      </c>
      <c r="AE3" s="494">
        <f ca="1">IF(AE6="Score",IFERROR(VLOOKUP($G$1&amp;AE5&amp;AE4,RawData!$A$3:$I$22,8,FALSE),0),0)</f>
        <v>0.14285714285714288</v>
      </c>
      <c r="AF3" s="494">
        <f>IF(AF6="Score",IFERROR(VLOOKUP($G$1&amp;AF5&amp;AF4,RawData!$A$3:$I$22,8,FALSE),0),0)</f>
        <v>0</v>
      </c>
      <c r="AG3" s="494">
        <f>IF(AG6="Score",IFERROR(VLOOKUP($G$1&amp;AG5&amp;AG4,RawData!$A$3:$I$22,8,FALSE),0),0)</f>
        <v>0</v>
      </c>
      <c r="AH3" s="494">
        <f ca="1">IF(AH6="Score",IFERROR(VLOOKUP($G$1&amp;AH5&amp;AH4,RawData!$A$3:$I$22,8,FALSE),0),0)</f>
        <v>0.14285714285714288</v>
      </c>
      <c r="AI3" s="494">
        <f>IF(AI6="Score",IFERROR(VLOOKUP($G$1&amp;AI5&amp;AI4,RawData!$A$3:$I$22,8,FALSE),0),0)</f>
        <v>0</v>
      </c>
      <c r="AJ3" s="494">
        <f>IF(AJ6="Score",IFERROR(VLOOKUP($G$1&amp;AJ5&amp;AJ4,RawData!$A$3:$I$22,8,FALSE),0),0)</f>
        <v>0</v>
      </c>
      <c r="AK3" s="494">
        <f ca="1">IF(AK6="Score",IFERROR(VLOOKUP($G$1&amp;AK5&amp;AK4,RawData!$A$3:$I$22,8,FALSE),0),0)</f>
        <v>0.14285714285714288</v>
      </c>
      <c r="AL3" s="494">
        <f>IF(AL6="Score",IFERROR(VLOOKUP($G$1&amp;AL5&amp;AL4,RawData!$A$3:$I$22,8,FALSE),0),0)</f>
        <v>0</v>
      </c>
      <c r="AM3" s="494">
        <f>IF(AM6="Score",IFERROR(VLOOKUP($G$1&amp;AM5&amp;AM4,RawData!$A$3:$I$22,8,FALSE),0),0)</f>
        <v>0</v>
      </c>
      <c r="AN3" s="494">
        <f ca="1">IF(AN6="Score",IFERROR(VLOOKUP($G$1&amp;AN5&amp;AN4,RawData!$A$3:$I$22,8,FALSE),0),0)</f>
        <v>0.14285714285714288</v>
      </c>
      <c r="AO3" s="494">
        <f>IF(AO6="Score",IFERROR(VLOOKUP($G$1&amp;AO5&amp;AO4,RawData!$A$3:$I$22,8,FALSE),0),0)</f>
        <v>0</v>
      </c>
      <c r="AP3" s="494">
        <f>IF(AP6="Score",IFERROR(VLOOKUP($G$1&amp;AP5&amp;AP4,RawData!$A$3:$I$22,8,FALSE),0),0)</f>
        <v>0</v>
      </c>
      <c r="AQ3" s="494">
        <f ca="1">IF(AQ6="Score",IFERROR(VLOOKUP($G$1&amp;AQ5&amp;AQ4,RawData!$A$3:$I$22,8,FALSE),0),0)</f>
        <v>0.14285714285714288</v>
      </c>
      <c r="AR3" s="494">
        <f>IF(AR6="Score",IFERROR(VLOOKUP($G$1&amp;AR5&amp;AR4,RawData!$A$3:$I$22,8,FALSE),0),0)</f>
        <v>0</v>
      </c>
      <c r="AS3" s="494">
        <f>IF(AS6="Score",IFERROR(VLOOKUP($G$1&amp;AS5&amp;AS4,RawData!$A$3:$I$22,8,FALSE),0),0)</f>
        <v>0</v>
      </c>
      <c r="AT3" s="494">
        <f ca="1">IF(AT6="Score",IFERROR(VLOOKUP($G$1&amp;AT5&amp;AT4,RawData!$A$3:$I$22,8,FALSE),0),0)</f>
        <v>0.14285714285714288</v>
      </c>
      <c r="AU3" s="494">
        <f ca="1">IF(AU6="Score",IFERROR(VLOOKUP($G$1&amp;AU5&amp;AU4,RawData!$A$3:$I$22,8,FALSE),0),0)</f>
        <v>0</v>
      </c>
      <c r="AV3" s="494">
        <f>IF(AV6="Score",IFERROR(VLOOKUP($G$1&amp;AV5&amp;AV4,RawData!$A$3:$I$22,8,FALSE),0),0)</f>
        <v>0</v>
      </c>
      <c r="AW3" s="494">
        <f ca="1">IF(AW6="Score",IFERROR(VLOOKUP($G$1&amp;AW5&amp;AW4,RawData!$A$3:$I$22,8,FALSE),0),0)</f>
        <v>0</v>
      </c>
      <c r="AX3" s="494">
        <f>IF(AX6="Score",IFERROR(VLOOKUP($G$1&amp;AX5&amp;AX4,RawData!$A$3:$I$22,8,FALSE),0),0)</f>
        <v>0</v>
      </c>
      <c r="AY3" s="494">
        <f>IF(AY6="Score",IFERROR(VLOOKUP($G$1&amp;AY5&amp;AY4,RawData!$A$3:$I$22,8,FALSE),0),0)</f>
        <v>0</v>
      </c>
    </row>
    <row r="4" spans="1:53" s="34" customFormat="1">
      <c r="A4" s="39" t="s">
        <v>20</v>
      </c>
      <c r="B4" s="22"/>
      <c r="C4" s="22"/>
      <c r="F4" s="21"/>
      <c r="G4" s="21"/>
    </row>
    <row r="5" spans="1:53" s="34" customFormat="1">
      <c r="A5" s="39" t="s">
        <v>21</v>
      </c>
      <c r="B5" s="22"/>
      <c r="C5" s="22"/>
      <c r="E5" s="21" t="str">
        <f>IF(E13="",D5,E13)</f>
        <v>Lithium-Based Cells</v>
      </c>
      <c r="F5" s="21" t="str">
        <f t="shared" ref="F5:AY5" si="0">IF(F13="",E5,F13)</f>
        <v>Lithium-Based Cells</v>
      </c>
      <c r="G5" s="21" t="str">
        <f t="shared" si="0"/>
        <v>Lithium-Based Cells</v>
      </c>
      <c r="H5" s="21" t="str">
        <f t="shared" si="0"/>
        <v>Lithium-Based Cells</v>
      </c>
      <c r="I5" s="21" t="str">
        <f t="shared" si="0"/>
        <v>Lithium-Based Cells</v>
      </c>
      <c r="J5" s="21" t="str">
        <f t="shared" si="0"/>
        <v>Lithium-Based Cells</v>
      </c>
      <c r="K5" s="21" t="str">
        <f t="shared" si="0"/>
        <v>Cathode Materials</v>
      </c>
      <c r="L5" s="21" t="str">
        <f t="shared" si="0"/>
        <v>Cathode Materials</v>
      </c>
      <c r="M5" s="21" t="str">
        <f t="shared" si="0"/>
        <v>Cathode Materials</v>
      </c>
      <c r="N5" s="21" t="str">
        <f t="shared" si="0"/>
        <v>Cathode Materials</v>
      </c>
      <c r="O5" s="21" t="str">
        <f t="shared" si="0"/>
        <v>Cathode Materials</v>
      </c>
      <c r="P5" s="21" t="str">
        <f t="shared" si="0"/>
        <v>Cathode Materials</v>
      </c>
      <c r="Q5" s="21" t="str">
        <f t="shared" si="0"/>
        <v>Anode Materials</v>
      </c>
      <c r="R5" s="21" t="str">
        <f t="shared" si="0"/>
        <v>Anode Materials</v>
      </c>
      <c r="S5" s="21" t="str">
        <f t="shared" si="0"/>
        <v>Anode Materials</v>
      </c>
      <c r="T5" s="21" t="str">
        <f t="shared" si="0"/>
        <v>Anode Materials</v>
      </c>
      <c r="U5" s="21" t="str">
        <f t="shared" si="0"/>
        <v>Anode Materials</v>
      </c>
      <c r="V5" s="21" t="str">
        <f t="shared" si="0"/>
        <v>Anode Materials</v>
      </c>
      <c r="W5" s="21" t="str">
        <f t="shared" si="0"/>
        <v>Electrolyte (Excludes Solvent)</v>
      </c>
      <c r="X5" s="21" t="str">
        <f t="shared" si="0"/>
        <v>Electrolyte (Excludes Solvent)</v>
      </c>
      <c r="Y5" s="21" t="str">
        <f t="shared" si="0"/>
        <v>Electrolyte (Excludes Solvent)</v>
      </c>
      <c r="Z5" s="21" t="str">
        <f t="shared" si="0"/>
        <v>Electrolyte (Excludes Solvent)</v>
      </c>
      <c r="AA5" s="21" t="str">
        <f t="shared" si="0"/>
        <v>Electrolyte (Excludes Solvent)</v>
      </c>
      <c r="AB5" s="21" t="str">
        <f t="shared" si="0"/>
        <v>Electrolyte (Excludes Solvent)</v>
      </c>
      <c r="AC5" s="21" t="str">
        <f t="shared" si="0"/>
        <v>Electrolyte Salts</v>
      </c>
      <c r="AD5" s="21" t="str">
        <f t="shared" si="0"/>
        <v>Electrolyte Salts</v>
      </c>
      <c r="AE5" s="21" t="str">
        <f t="shared" si="0"/>
        <v>Electrolyte Salts</v>
      </c>
      <c r="AF5" s="21" t="str">
        <f t="shared" si="0"/>
        <v>Electrolyte Salts</v>
      </c>
      <c r="AG5" s="21" t="str">
        <f t="shared" si="0"/>
        <v>Electrolyte Salts</v>
      </c>
      <c r="AH5" s="21" t="str">
        <f t="shared" si="0"/>
        <v>Electrolyte Salts</v>
      </c>
      <c r="AI5" s="21" t="str">
        <f t="shared" si="0"/>
        <v>Separator/Membrane</v>
      </c>
      <c r="AJ5" s="21" t="str">
        <f t="shared" si="0"/>
        <v>Separator/Membrane</v>
      </c>
      <c r="AK5" s="21" t="str">
        <f t="shared" si="0"/>
        <v>Separator/Membrane</v>
      </c>
      <c r="AL5" s="21" t="str">
        <f t="shared" si="0"/>
        <v>Separator/Membrane</v>
      </c>
      <c r="AM5" s="21" t="str">
        <f t="shared" si="0"/>
        <v>Separator/Membrane</v>
      </c>
      <c r="AN5" s="21" t="str">
        <f t="shared" si="0"/>
        <v>Separator/Membrane</v>
      </c>
      <c r="AO5" s="21" t="str">
        <f t="shared" si="0"/>
        <v>Disassembly and Recycling</v>
      </c>
      <c r="AP5" s="21" t="str">
        <f t="shared" si="0"/>
        <v>Disassembly and Recycling</v>
      </c>
      <c r="AQ5" s="21" t="str">
        <f t="shared" si="0"/>
        <v>Disassembly and Recycling</v>
      </c>
      <c r="AR5" s="21" t="str">
        <f t="shared" si="0"/>
        <v>Disassembly and Recycling</v>
      </c>
      <c r="AS5" s="21" t="str">
        <f t="shared" si="0"/>
        <v>Disassembly and Recycling</v>
      </c>
      <c r="AT5" s="21" t="str">
        <f t="shared" si="0"/>
        <v>Disassembly and Recycling</v>
      </c>
      <c r="AU5" s="21" t="str">
        <f t="shared" si="0"/>
        <v>Overall</v>
      </c>
      <c r="AV5" s="21" t="str">
        <f t="shared" si="0"/>
        <v>Overall</v>
      </c>
      <c r="AW5" s="21" t="str">
        <f t="shared" si="0"/>
        <v>Overall</v>
      </c>
      <c r="AX5" s="21" t="str">
        <f t="shared" si="0"/>
        <v>Overall</v>
      </c>
      <c r="AY5" s="21" t="str">
        <f t="shared" si="0"/>
        <v>Overall</v>
      </c>
    </row>
    <row r="6" spans="1:53" s="34" customFormat="1">
      <c r="A6" s="40" t="s">
        <v>0</v>
      </c>
      <c r="B6" s="21"/>
      <c r="C6" s="21"/>
      <c r="D6" s="21"/>
      <c r="E6" s="21" t="str">
        <f>E15</f>
        <v>Gigawatt-hours per year</v>
      </c>
      <c r="F6" s="21" t="str">
        <f t="shared" ref="F6:AY6" si="1">F15</f>
        <v>Rank</v>
      </c>
      <c r="G6" s="21" t="str">
        <f t="shared" si="1"/>
        <v>Score</v>
      </c>
      <c r="H6" s="21" t="str">
        <f t="shared" si="1"/>
        <v>Gigawatt-hours per year</v>
      </c>
      <c r="I6" s="21" t="str">
        <f t="shared" si="1"/>
        <v>Rank</v>
      </c>
      <c r="J6" s="21" t="str">
        <f t="shared" si="1"/>
        <v>Score</v>
      </c>
      <c r="K6" s="21" t="str">
        <f t="shared" si="1"/>
        <v>Metric tons per year</v>
      </c>
      <c r="L6" s="21" t="str">
        <f t="shared" si="1"/>
        <v>Rank</v>
      </c>
      <c r="M6" s="21" t="str">
        <f t="shared" si="1"/>
        <v>Score</v>
      </c>
      <c r="N6" s="21" t="str">
        <f t="shared" si="1"/>
        <v>Metric tons per year</v>
      </c>
      <c r="O6" s="21" t="str">
        <f t="shared" si="1"/>
        <v>Rank</v>
      </c>
      <c r="P6" s="21" t="str">
        <f t="shared" si="1"/>
        <v>Score</v>
      </c>
      <c r="Q6" s="21" t="str">
        <f t="shared" si="1"/>
        <v>Metric tons per year</v>
      </c>
      <c r="R6" s="21" t="str">
        <f t="shared" si="1"/>
        <v>Rank</v>
      </c>
      <c r="S6" s="21" t="str">
        <f t="shared" si="1"/>
        <v>Score</v>
      </c>
      <c r="T6" s="21" t="str">
        <f t="shared" si="1"/>
        <v>Metric tons per year</v>
      </c>
      <c r="U6" s="21" t="str">
        <f t="shared" si="1"/>
        <v>Rank</v>
      </c>
      <c r="V6" s="21" t="str">
        <f t="shared" si="1"/>
        <v>Score</v>
      </c>
      <c r="W6" s="21" t="str">
        <f t="shared" si="1"/>
        <v>Metric tons per year</v>
      </c>
      <c r="X6" s="21" t="str">
        <f t="shared" si="1"/>
        <v>Rank</v>
      </c>
      <c r="Y6" s="21" t="str">
        <f t="shared" si="1"/>
        <v>Score</v>
      </c>
      <c r="Z6" s="21" t="str">
        <f t="shared" si="1"/>
        <v>Metric tons per year</v>
      </c>
      <c r="AA6" s="21" t="str">
        <f t="shared" si="1"/>
        <v>Rank</v>
      </c>
      <c r="AB6" s="21" t="str">
        <f t="shared" si="1"/>
        <v>Score</v>
      </c>
      <c r="AC6" s="21" t="str">
        <f t="shared" si="1"/>
        <v>Metric tons per year</v>
      </c>
      <c r="AD6" s="21" t="str">
        <f t="shared" si="1"/>
        <v>Rank</v>
      </c>
      <c r="AE6" s="21" t="str">
        <f t="shared" si="1"/>
        <v>Score</v>
      </c>
      <c r="AF6" s="21" t="str">
        <f t="shared" si="1"/>
        <v>Metric tons per year</v>
      </c>
      <c r="AG6" s="21" t="str">
        <f t="shared" si="1"/>
        <v>Rank</v>
      </c>
      <c r="AH6" s="21" t="str">
        <f t="shared" si="1"/>
        <v>Score</v>
      </c>
      <c r="AI6" s="21" t="str">
        <f t="shared" si="1"/>
        <v>Million square meters per year</v>
      </c>
      <c r="AJ6" s="21" t="str">
        <f t="shared" si="1"/>
        <v>Rank</v>
      </c>
      <c r="AK6" s="21" t="str">
        <f t="shared" si="1"/>
        <v>Score</v>
      </c>
      <c r="AL6" s="21" t="str">
        <f t="shared" si="1"/>
        <v>Million square meters per year</v>
      </c>
      <c r="AM6" s="21" t="str">
        <f t="shared" si="1"/>
        <v>Rank</v>
      </c>
      <c r="AN6" s="21" t="str">
        <f t="shared" si="1"/>
        <v>Score</v>
      </c>
      <c r="AO6" s="21" t="str">
        <f t="shared" si="1"/>
        <v>Metric tons per year</v>
      </c>
      <c r="AP6" s="21" t="str">
        <f t="shared" si="1"/>
        <v>Rank</v>
      </c>
      <c r="AQ6" s="21" t="str">
        <f t="shared" si="1"/>
        <v>Score</v>
      </c>
      <c r="AR6" s="21" t="str">
        <f t="shared" si="1"/>
        <v>Metric tons per year</v>
      </c>
      <c r="AS6" s="21" t="str">
        <f t="shared" si="1"/>
        <v>Rank</v>
      </c>
      <c r="AT6" s="21" t="str">
        <f t="shared" si="1"/>
        <v>Score</v>
      </c>
      <c r="AU6" s="21" t="str">
        <f t="shared" si="1"/>
        <v>Score</v>
      </c>
      <c r="AV6" s="21" t="str">
        <f t="shared" si="1"/>
        <v>Rank</v>
      </c>
      <c r="AW6" s="21" t="str">
        <f t="shared" si="1"/>
        <v>Score</v>
      </c>
      <c r="AX6" s="21" t="str">
        <f t="shared" si="1"/>
        <v>Rank</v>
      </c>
      <c r="AY6" s="21">
        <f t="shared" si="1"/>
        <v>0</v>
      </c>
    </row>
    <row r="7" spans="1:53">
      <c r="E7" s="21">
        <f>IF(E14="",D7,E14)</f>
        <v>2022</v>
      </c>
      <c r="F7" s="21">
        <f t="shared" ref="F7:AY7" si="2">IF(F14="",E7,F14)</f>
        <v>2022</v>
      </c>
      <c r="G7" s="21">
        <f t="shared" si="2"/>
        <v>2022</v>
      </c>
      <c r="H7" s="21">
        <f t="shared" si="2"/>
        <v>2023</v>
      </c>
      <c r="I7" s="21">
        <f t="shared" si="2"/>
        <v>2023</v>
      </c>
      <c r="J7" s="21">
        <f t="shared" si="2"/>
        <v>2023</v>
      </c>
      <c r="K7" s="21">
        <f t="shared" si="2"/>
        <v>2022</v>
      </c>
      <c r="L7" s="21">
        <f t="shared" si="2"/>
        <v>2022</v>
      </c>
      <c r="M7" s="21">
        <f t="shared" si="2"/>
        <v>2022</v>
      </c>
      <c r="N7" s="21">
        <f t="shared" si="2"/>
        <v>2023</v>
      </c>
      <c r="O7" s="21">
        <f t="shared" si="2"/>
        <v>2023</v>
      </c>
      <c r="P7" s="21">
        <f t="shared" si="2"/>
        <v>2023</v>
      </c>
      <c r="Q7" s="21">
        <f t="shared" si="2"/>
        <v>2022</v>
      </c>
      <c r="R7" s="21">
        <f t="shared" si="2"/>
        <v>2022</v>
      </c>
      <c r="S7" s="21">
        <f t="shared" si="2"/>
        <v>2022</v>
      </c>
      <c r="T7" s="21">
        <f t="shared" si="2"/>
        <v>2023</v>
      </c>
      <c r="U7" s="21">
        <f t="shared" si="2"/>
        <v>2023</v>
      </c>
      <c r="V7" s="21">
        <f t="shared" si="2"/>
        <v>2023</v>
      </c>
      <c r="W7" s="21">
        <f t="shared" si="2"/>
        <v>2022</v>
      </c>
      <c r="X7" s="21">
        <f t="shared" si="2"/>
        <v>2022</v>
      </c>
      <c r="Y7" s="21">
        <f t="shared" si="2"/>
        <v>2022</v>
      </c>
      <c r="Z7" s="21">
        <f t="shared" si="2"/>
        <v>2023</v>
      </c>
      <c r="AA7" s="21">
        <f t="shared" si="2"/>
        <v>2023</v>
      </c>
      <c r="AB7" s="21">
        <f t="shared" si="2"/>
        <v>2023</v>
      </c>
      <c r="AC7" s="21">
        <f t="shared" si="2"/>
        <v>2022</v>
      </c>
      <c r="AD7" s="21">
        <f t="shared" si="2"/>
        <v>2022</v>
      </c>
      <c r="AE7" s="21">
        <f t="shared" si="2"/>
        <v>2022</v>
      </c>
      <c r="AF7" s="21">
        <f t="shared" si="2"/>
        <v>2023</v>
      </c>
      <c r="AG7" s="21">
        <f t="shared" si="2"/>
        <v>2023</v>
      </c>
      <c r="AH7" s="21">
        <f t="shared" si="2"/>
        <v>2023</v>
      </c>
      <c r="AI7" s="21">
        <f t="shared" si="2"/>
        <v>2022</v>
      </c>
      <c r="AJ7" s="21">
        <f t="shared" si="2"/>
        <v>2022</v>
      </c>
      <c r="AK7" s="21">
        <f t="shared" si="2"/>
        <v>2022</v>
      </c>
      <c r="AL7" s="21">
        <f t="shared" si="2"/>
        <v>2023</v>
      </c>
      <c r="AM7" s="21">
        <f t="shared" si="2"/>
        <v>2023</v>
      </c>
      <c r="AN7" s="21">
        <f t="shared" si="2"/>
        <v>2023</v>
      </c>
      <c r="AO7" s="21">
        <f t="shared" si="2"/>
        <v>2022</v>
      </c>
      <c r="AP7" s="21">
        <f t="shared" si="2"/>
        <v>2022</v>
      </c>
      <c r="AQ7" s="21">
        <f t="shared" si="2"/>
        <v>2022</v>
      </c>
      <c r="AR7" s="21">
        <f t="shared" si="2"/>
        <v>2023</v>
      </c>
      <c r="AS7" s="21">
        <f t="shared" si="2"/>
        <v>2023</v>
      </c>
      <c r="AT7" s="21">
        <f t="shared" si="2"/>
        <v>2023</v>
      </c>
      <c r="AU7" s="21">
        <f t="shared" si="2"/>
        <v>2022</v>
      </c>
      <c r="AV7" s="21">
        <f t="shared" si="2"/>
        <v>2022</v>
      </c>
      <c r="AW7" s="21">
        <f t="shared" si="2"/>
        <v>2023</v>
      </c>
      <c r="AX7" s="21">
        <f t="shared" si="2"/>
        <v>2023</v>
      </c>
      <c r="AY7" s="21" t="str">
        <f t="shared" si="2"/>
        <v>Rank Change</v>
      </c>
    </row>
    <row r="8" spans="1:53" ht="12.75" hidden="1" customHeight="1" outlineLevel="1">
      <c r="B8" s="809" t="s">
        <v>352</v>
      </c>
      <c r="C8" s="810"/>
      <c r="D8" s="810"/>
      <c r="E8" s="495"/>
      <c r="F8" s="495"/>
      <c r="G8" s="495"/>
      <c r="H8" s="495"/>
      <c r="I8" s="495"/>
      <c r="J8" s="495"/>
      <c r="K8" s="495"/>
      <c r="L8" s="495"/>
      <c r="M8" s="495"/>
      <c r="N8" s="495"/>
      <c r="O8" s="495"/>
      <c r="P8" s="495"/>
      <c r="Q8" s="495"/>
      <c r="R8" s="495"/>
      <c r="S8" s="495"/>
      <c r="T8" s="495"/>
      <c r="U8" s="495"/>
      <c r="V8" s="495"/>
      <c r="W8" s="495"/>
      <c r="X8" s="495"/>
      <c r="Y8" s="495"/>
      <c r="Z8" s="495"/>
      <c r="AA8" s="495"/>
      <c r="AB8" s="495"/>
      <c r="AC8" s="495"/>
      <c r="AD8" s="495"/>
      <c r="AE8" s="495"/>
      <c r="AF8" s="495"/>
      <c r="AG8" s="495"/>
      <c r="AH8" s="495"/>
      <c r="AI8" s="495"/>
      <c r="AJ8" s="495"/>
      <c r="AK8" s="495"/>
      <c r="AL8" s="495"/>
      <c r="AM8" s="495"/>
      <c r="AN8" s="495"/>
      <c r="AO8" s="495" t="s">
        <v>353</v>
      </c>
      <c r="AP8" s="495"/>
      <c r="AQ8" s="495"/>
      <c r="AR8" s="495"/>
      <c r="AS8" s="495"/>
      <c r="AT8" s="496"/>
    </row>
    <row r="9" spans="1:53" hidden="1" outlineLevel="1">
      <c r="B9" s="811"/>
      <c r="C9" s="812"/>
      <c r="D9" s="812"/>
      <c r="AO9" s="21" t="s">
        <v>354</v>
      </c>
      <c r="AT9" s="497"/>
    </row>
    <row r="10" spans="1:53" hidden="1" outlineLevel="1">
      <c r="B10" s="811"/>
      <c r="C10" s="812"/>
      <c r="D10" s="812"/>
      <c r="E10" s="21" t="s">
        <v>355</v>
      </c>
      <c r="K10" s="21" t="s">
        <v>356</v>
      </c>
      <c r="Q10" s="21" t="s">
        <v>357</v>
      </c>
      <c r="W10" s="21" t="s">
        <v>60</v>
      </c>
      <c r="AC10" s="21" t="s">
        <v>358</v>
      </c>
      <c r="AI10" s="21" t="s">
        <v>359</v>
      </c>
      <c r="AO10" s="21" t="s">
        <v>360</v>
      </c>
      <c r="AT10" s="497"/>
    </row>
    <row r="11" spans="1:53" hidden="1" outlineLevel="1">
      <c r="B11" s="813"/>
      <c r="C11" s="814"/>
      <c r="D11" s="814"/>
      <c r="E11" s="498" t="s">
        <v>361</v>
      </c>
      <c r="F11" s="498"/>
      <c r="G11" s="498"/>
      <c r="H11" s="498"/>
      <c r="I11" s="498"/>
      <c r="J11" s="498"/>
      <c r="K11" s="498" t="s">
        <v>361</v>
      </c>
      <c r="L11" s="498"/>
      <c r="M11" s="498"/>
      <c r="N11" s="498"/>
      <c r="O11" s="498"/>
      <c r="P11" s="498"/>
      <c r="Q11" s="498" t="s">
        <v>361</v>
      </c>
      <c r="R11" s="498"/>
      <c r="S11" s="498"/>
      <c r="T11" s="498"/>
      <c r="U11" s="498"/>
      <c r="V11" s="498"/>
      <c r="W11" s="498" t="s">
        <v>361</v>
      </c>
      <c r="X11" s="498"/>
      <c r="Y11" s="498"/>
      <c r="Z11" s="498"/>
      <c r="AA11" s="498"/>
      <c r="AB11" s="498"/>
      <c r="AC11" s="498" t="s">
        <v>361</v>
      </c>
      <c r="AD11" s="498"/>
      <c r="AE11" s="498"/>
      <c r="AF11" s="498"/>
      <c r="AG11" s="498"/>
      <c r="AH11" s="498"/>
      <c r="AI11" s="498" t="s">
        <v>361</v>
      </c>
      <c r="AJ11" s="498"/>
      <c r="AK11" s="498"/>
      <c r="AL11" s="498"/>
      <c r="AM11" s="498"/>
      <c r="AN11" s="498"/>
      <c r="AO11" s="498" t="s">
        <v>361</v>
      </c>
      <c r="AP11" s="498"/>
      <c r="AQ11" s="498"/>
      <c r="AR11" s="498"/>
      <c r="AS11" s="498"/>
      <c r="AT11" s="499"/>
    </row>
    <row r="12" spans="1:53" ht="20.100000000000001" customHeight="1" collapsed="1">
      <c r="B12" s="776" t="s">
        <v>87</v>
      </c>
      <c r="C12" s="776" t="s">
        <v>23</v>
      </c>
      <c r="D12" s="815" t="s">
        <v>362</v>
      </c>
      <c r="E12" s="817" t="s">
        <v>351</v>
      </c>
      <c r="F12" s="818"/>
      <c r="G12" s="818"/>
      <c r="H12" s="818"/>
      <c r="I12" s="818"/>
      <c r="J12" s="818"/>
      <c r="K12" s="818"/>
      <c r="L12" s="818"/>
      <c r="M12" s="818"/>
      <c r="N12" s="818"/>
      <c r="O12" s="818"/>
      <c r="P12" s="818"/>
      <c r="Q12" s="818"/>
      <c r="R12" s="818"/>
      <c r="S12" s="818"/>
      <c r="T12" s="818"/>
      <c r="U12" s="818"/>
      <c r="V12" s="818"/>
      <c r="W12" s="818"/>
      <c r="X12" s="818"/>
      <c r="Y12" s="818"/>
      <c r="Z12" s="818"/>
      <c r="AA12" s="818"/>
      <c r="AB12" s="818"/>
      <c r="AC12" s="818"/>
      <c r="AD12" s="818"/>
      <c r="AE12" s="818"/>
      <c r="AF12" s="818"/>
      <c r="AG12" s="818"/>
      <c r="AH12" s="818"/>
      <c r="AI12" s="818"/>
      <c r="AJ12" s="818"/>
      <c r="AK12" s="818"/>
      <c r="AL12" s="818"/>
      <c r="AM12" s="818"/>
      <c r="AN12" s="818"/>
      <c r="AO12" s="818"/>
      <c r="AP12" s="818"/>
      <c r="AQ12" s="818"/>
      <c r="AR12" s="818"/>
      <c r="AS12" s="818"/>
      <c r="AT12" s="818"/>
      <c r="AU12" s="818"/>
      <c r="AV12" s="818"/>
      <c r="AW12" s="818"/>
      <c r="AX12" s="818"/>
      <c r="AY12" s="819"/>
      <c r="AZ12" s="776" t="s">
        <v>23</v>
      </c>
      <c r="BA12" s="776" t="s">
        <v>87</v>
      </c>
    </row>
    <row r="13" spans="1:53" ht="20.100000000000001" customHeight="1">
      <c r="B13" s="777"/>
      <c r="C13" s="777"/>
      <c r="D13" s="816"/>
      <c r="E13" s="803" t="s">
        <v>363</v>
      </c>
      <c r="F13" s="804"/>
      <c r="G13" s="804"/>
      <c r="H13" s="804"/>
      <c r="I13" s="804"/>
      <c r="J13" s="805"/>
      <c r="K13" s="803" t="s">
        <v>356</v>
      </c>
      <c r="L13" s="804"/>
      <c r="M13" s="804"/>
      <c r="N13" s="804"/>
      <c r="O13" s="804"/>
      <c r="P13" s="805"/>
      <c r="Q13" s="803" t="s">
        <v>364</v>
      </c>
      <c r="R13" s="804"/>
      <c r="S13" s="804"/>
      <c r="T13" s="804"/>
      <c r="U13" s="804"/>
      <c r="V13" s="805"/>
      <c r="W13" s="803" t="s">
        <v>365</v>
      </c>
      <c r="X13" s="804"/>
      <c r="Y13" s="804"/>
      <c r="Z13" s="804"/>
      <c r="AA13" s="804"/>
      <c r="AB13" s="805"/>
      <c r="AC13" s="803" t="s">
        <v>358</v>
      </c>
      <c r="AD13" s="804"/>
      <c r="AE13" s="804"/>
      <c r="AF13" s="804"/>
      <c r="AG13" s="804"/>
      <c r="AH13" s="805"/>
      <c r="AI13" s="803" t="s">
        <v>366</v>
      </c>
      <c r="AJ13" s="804"/>
      <c r="AK13" s="804"/>
      <c r="AL13" s="804"/>
      <c r="AM13" s="804"/>
      <c r="AN13" s="805"/>
      <c r="AO13" s="803" t="s">
        <v>367</v>
      </c>
      <c r="AP13" s="804"/>
      <c r="AQ13" s="804"/>
      <c r="AR13" s="804"/>
      <c r="AS13" s="804"/>
      <c r="AT13" s="805"/>
      <c r="AU13" s="806" t="s">
        <v>332</v>
      </c>
      <c r="AV13" s="807"/>
      <c r="AW13" s="807"/>
      <c r="AX13" s="807"/>
      <c r="AY13" s="808"/>
      <c r="AZ13" s="777"/>
      <c r="BA13" s="777"/>
    </row>
    <row r="14" spans="1:53" ht="20.100000000000001" customHeight="1">
      <c r="B14" s="777"/>
      <c r="C14" s="777"/>
      <c r="D14" s="816"/>
      <c r="E14" s="670">
        <v>2022</v>
      </c>
      <c r="F14" s="772"/>
      <c r="G14" s="671"/>
      <c r="H14" s="670">
        <v>2023</v>
      </c>
      <c r="I14" s="772"/>
      <c r="J14" s="671"/>
      <c r="K14" s="670">
        <v>2022</v>
      </c>
      <c r="L14" s="772"/>
      <c r="M14" s="671"/>
      <c r="N14" s="670">
        <v>2023</v>
      </c>
      <c r="O14" s="772"/>
      <c r="P14" s="671"/>
      <c r="Q14" s="670">
        <v>2022</v>
      </c>
      <c r="R14" s="772"/>
      <c r="S14" s="671"/>
      <c r="T14" s="670">
        <v>2023</v>
      </c>
      <c r="U14" s="772"/>
      <c r="V14" s="671"/>
      <c r="W14" s="670">
        <v>2022</v>
      </c>
      <c r="X14" s="772"/>
      <c r="Y14" s="671"/>
      <c r="Z14" s="670">
        <v>2023</v>
      </c>
      <c r="AA14" s="772"/>
      <c r="AB14" s="671"/>
      <c r="AC14" s="670">
        <v>2022</v>
      </c>
      <c r="AD14" s="772"/>
      <c r="AE14" s="671"/>
      <c r="AF14" s="670">
        <v>2023</v>
      </c>
      <c r="AG14" s="772"/>
      <c r="AH14" s="671"/>
      <c r="AI14" s="670">
        <v>2022</v>
      </c>
      <c r="AJ14" s="772"/>
      <c r="AK14" s="671"/>
      <c r="AL14" s="670">
        <v>2023</v>
      </c>
      <c r="AM14" s="772"/>
      <c r="AN14" s="363"/>
      <c r="AO14" s="670">
        <v>2022</v>
      </c>
      <c r="AP14" s="772"/>
      <c r="AQ14" s="671"/>
      <c r="AR14" s="670">
        <v>2023</v>
      </c>
      <c r="AS14" s="772"/>
      <c r="AT14" s="363"/>
      <c r="AU14" s="670">
        <v>2022</v>
      </c>
      <c r="AV14" s="671"/>
      <c r="AW14" s="670">
        <v>2023</v>
      </c>
      <c r="AX14" s="772"/>
      <c r="AY14" s="754" t="s">
        <v>336</v>
      </c>
      <c r="AZ14" s="777"/>
      <c r="BA14" s="777"/>
    </row>
    <row r="15" spans="1:53" ht="20.100000000000001" customHeight="1">
      <c r="B15" s="777"/>
      <c r="C15" s="777"/>
      <c r="D15" s="816"/>
      <c r="E15" s="298" t="s">
        <v>658</v>
      </c>
      <c r="F15" s="380" t="s">
        <v>241</v>
      </c>
      <c r="G15" s="380" t="s">
        <v>337</v>
      </c>
      <c r="H15" s="298" t="s">
        <v>658</v>
      </c>
      <c r="I15" s="380" t="s">
        <v>241</v>
      </c>
      <c r="J15" s="380" t="s">
        <v>337</v>
      </c>
      <c r="K15" s="298" t="s">
        <v>656</v>
      </c>
      <c r="L15" s="380" t="s">
        <v>241</v>
      </c>
      <c r="M15" s="380" t="s">
        <v>337</v>
      </c>
      <c r="N15" s="298" t="s">
        <v>656</v>
      </c>
      <c r="O15" s="380" t="s">
        <v>241</v>
      </c>
      <c r="P15" s="380" t="s">
        <v>337</v>
      </c>
      <c r="Q15" s="298" t="s">
        <v>656</v>
      </c>
      <c r="R15" s="380" t="s">
        <v>241</v>
      </c>
      <c r="S15" s="380" t="s">
        <v>337</v>
      </c>
      <c r="T15" s="298" t="s">
        <v>656</v>
      </c>
      <c r="U15" s="380" t="s">
        <v>241</v>
      </c>
      <c r="V15" s="380" t="s">
        <v>337</v>
      </c>
      <c r="W15" s="298" t="s">
        <v>656</v>
      </c>
      <c r="X15" s="380" t="s">
        <v>241</v>
      </c>
      <c r="Y15" s="380" t="s">
        <v>337</v>
      </c>
      <c r="Z15" s="298" t="s">
        <v>656</v>
      </c>
      <c r="AA15" s="380" t="s">
        <v>241</v>
      </c>
      <c r="AB15" s="380" t="s">
        <v>337</v>
      </c>
      <c r="AC15" s="298" t="s">
        <v>656</v>
      </c>
      <c r="AD15" s="380" t="s">
        <v>241</v>
      </c>
      <c r="AE15" s="380" t="s">
        <v>337</v>
      </c>
      <c r="AF15" s="298" t="s">
        <v>656</v>
      </c>
      <c r="AG15" s="380" t="s">
        <v>241</v>
      </c>
      <c r="AH15" s="380" t="s">
        <v>337</v>
      </c>
      <c r="AI15" s="298" t="s">
        <v>657</v>
      </c>
      <c r="AJ15" s="380" t="s">
        <v>241</v>
      </c>
      <c r="AK15" s="380" t="s">
        <v>337</v>
      </c>
      <c r="AL15" s="298" t="s">
        <v>657</v>
      </c>
      <c r="AM15" s="380" t="s">
        <v>241</v>
      </c>
      <c r="AN15" s="380" t="s">
        <v>337</v>
      </c>
      <c r="AO15" s="298" t="s">
        <v>656</v>
      </c>
      <c r="AP15" s="380" t="s">
        <v>241</v>
      </c>
      <c r="AQ15" s="380" t="s">
        <v>337</v>
      </c>
      <c r="AR15" s="298" t="s">
        <v>656</v>
      </c>
      <c r="AS15" s="380" t="s">
        <v>241</v>
      </c>
      <c r="AT15" s="380" t="s">
        <v>337</v>
      </c>
      <c r="AU15" s="298" t="s">
        <v>337</v>
      </c>
      <c r="AV15" s="380" t="s">
        <v>241</v>
      </c>
      <c r="AW15" s="298" t="s">
        <v>337</v>
      </c>
      <c r="AX15" s="380" t="s">
        <v>241</v>
      </c>
      <c r="AY15" s="755"/>
      <c r="AZ15" s="777"/>
      <c r="BA15" s="777"/>
    </row>
    <row r="16" spans="1:53" s="445" customFormat="1" ht="12.95" customHeight="1">
      <c r="B16" s="301" t="s">
        <v>5</v>
      </c>
      <c r="C16" s="302" t="s">
        <v>338</v>
      </c>
      <c r="D16" s="299" t="s">
        <v>368</v>
      </c>
      <c r="E16" s="364">
        <v>2.2000000000000002</v>
      </c>
      <c r="F16" s="304">
        <f>RANK(E16,E$16:E$45,0)</f>
        <v>10</v>
      </c>
      <c r="G16" s="305">
        <f>MATCH(E16,G$49:G$53,1)</f>
        <v>2</v>
      </c>
      <c r="H16" s="310">
        <v>2.2000000000000002</v>
      </c>
      <c r="I16" s="307">
        <f>RANK(H16,H$16:H$45,0)</f>
        <v>13</v>
      </c>
      <c r="J16" s="365">
        <f>MATCH(H16,J$49:J$53,1)</f>
        <v>2</v>
      </c>
      <c r="K16" s="303">
        <v>0</v>
      </c>
      <c r="L16" s="304">
        <f>RANK(K16,K$16:K$45,0)</f>
        <v>9</v>
      </c>
      <c r="M16" s="305">
        <f>MATCH(K16,M$49:M$53,1)</f>
        <v>1</v>
      </c>
      <c r="N16" s="306">
        <v>0</v>
      </c>
      <c r="O16" s="307">
        <f>RANK(N16,N$16:N$45,0)</f>
        <v>10</v>
      </c>
      <c r="P16" s="365">
        <f>MATCH(N16,P$49:P$53,1)</f>
        <v>1</v>
      </c>
      <c r="Q16" s="303">
        <v>0</v>
      </c>
      <c r="R16" s="304">
        <f>RANK(Q16,Q$16:Q$45,0)</f>
        <v>7</v>
      </c>
      <c r="S16" s="305">
        <f>MATCH(Q16,S$49:S$53,1)</f>
        <v>1</v>
      </c>
      <c r="T16" s="306">
        <v>0</v>
      </c>
      <c r="U16" s="307">
        <f>RANK(T16,T$16:T$45,0)</f>
        <v>8</v>
      </c>
      <c r="V16" s="365">
        <f>MATCH(T16,V$49:V$53,1)</f>
        <v>1</v>
      </c>
      <c r="W16" s="303">
        <v>10000</v>
      </c>
      <c r="X16" s="304">
        <f>RANK(W16,W$16:W$45,0)</f>
        <v>5</v>
      </c>
      <c r="Y16" s="305">
        <f>MATCH(W16,Y$49:Y$53,1)</f>
        <v>2</v>
      </c>
      <c r="Z16" s="306">
        <v>0</v>
      </c>
      <c r="AA16" s="307">
        <f>RANK(Z16,Z$16:Z$45,0)</f>
        <v>7</v>
      </c>
      <c r="AB16" s="365">
        <f>MATCH(Z16,AB$49:AB$53,1)</f>
        <v>1</v>
      </c>
      <c r="AC16" s="303">
        <v>0</v>
      </c>
      <c r="AD16" s="304">
        <f>RANK(AC16,AC$16:AC$45,0)</f>
        <v>5</v>
      </c>
      <c r="AE16" s="305">
        <f>MATCH(AC16,AE$49:AE$53,1)</f>
        <v>1</v>
      </c>
      <c r="AF16" s="306">
        <v>0</v>
      </c>
      <c r="AG16" s="307">
        <f>RANK(AF16,AF$16:AF$45,0)</f>
        <v>5</v>
      </c>
      <c r="AH16" s="365">
        <f>MATCH(AF16,AH$49:AH$53,1)</f>
        <v>1</v>
      </c>
      <c r="AI16" s="303">
        <v>0</v>
      </c>
      <c r="AJ16" s="304">
        <f>RANK(AI16,AI$16:AI$45,0)</f>
        <v>7</v>
      </c>
      <c r="AK16" s="305">
        <f>MATCH(AI16,AK$49:AK$53,1)</f>
        <v>1</v>
      </c>
      <c r="AL16" s="306">
        <v>0</v>
      </c>
      <c r="AM16" s="307">
        <f>RANK(AL16,AL$16:AL$45,0)</f>
        <v>7</v>
      </c>
      <c r="AN16" s="365">
        <f>MATCH(AL16,AN$49:AN$53,1)</f>
        <v>1</v>
      </c>
      <c r="AO16" s="303">
        <v>0</v>
      </c>
      <c r="AP16" s="304">
        <f>RANK(AO16,AO$16:AO$45,0)</f>
        <v>9</v>
      </c>
      <c r="AQ16" s="305">
        <f>MATCH(AO16,AQ$49:AQ$53,1)</f>
        <v>1</v>
      </c>
      <c r="AR16" s="306">
        <v>0</v>
      </c>
      <c r="AS16" s="307">
        <f>RANK(AR16,AR$16:AR$45,0)</f>
        <v>10</v>
      </c>
      <c r="AT16" s="365">
        <f>MATCH(AR16,AT$49:AT$53,1)</f>
        <v>1</v>
      </c>
      <c r="AU16" s="336" cm="1">
        <f t="array" aca="1" ref="AU16" ca="1">ROUNDUP(SUMPRODUCT(--($E$7:$AT$7=AU$7),$E16:$AT16,$E$3:$AT$3),3)</f>
        <v>1.2859999999999998</v>
      </c>
      <c r="AV16" s="304">
        <v>10</v>
      </c>
      <c r="AW16" s="366" cm="1">
        <f t="array" aca="1" ref="AW16" ca="1">ROUNDUP(SUMPRODUCT(--($E$7:$AT$7=AW$7),$E16:$AT16,$E$3:$AT$3),3)</f>
        <v>1.1429999999999998</v>
      </c>
      <c r="AX16" s="367">
        <f ca="1">RANK(AW16,AW$16:AW$45,0)</f>
        <v>18</v>
      </c>
      <c r="AY16" s="500">
        <f ca="1">AV16-AX16</f>
        <v>-8</v>
      </c>
      <c r="AZ16" s="302" t="s">
        <v>338</v>
      </c>
      <c r="BA16" s="314" t="s">
        <v>5</v>
      </c>
    </row>
    <row r="17" spans="2:53" s="445" customFormat="1" ht="12.95" customHeight="1">
      <c r="B17" s="315" t="s">
        <v>5</v>
      </c>
      <c r="C17" s="316" t="s">
        <v>83</v>
      </c>
      <c r="D17" s="368" t="s">
        <v>369</v>
      </c>
      <c r="E17" s="369">
        <v>0.1</v>
      </c>
      <c r="F17" s="305">
        <f t="shared" ref="F17:F45" si="3">RANK(E17,E$16:E$45,0)</f>
        <v>12</v>
      </c>
      <c r="G17" s="305">
        <f>MATCH(E17,G$49:G$53,1)</f>
        <v>1</v>
      </c>
      <c r="H17" s="320">
        <v>0.1</v>
      </c>
      <c r="I17" s="307">
        <f t="shared" ref="I17:I45" si="4">RANK(H17,H$16:H$45,0)</f>
        <v>16</v>
      </c>
      <c r="J17" s="370">
        <f t="shared" ref="J17:J45" si="5">MATCH(H17,J$49:J$53,1)</f>
        <v>2</v>
      </c>
      <c r="K17" s="317">
        <v>0</v>
      </c>
      <c r="L17" s="305">
        <f t="shared" ref="L17:L45" si="6">RANK(K17,K$16:K$45,0)</f>
        <v>9</v>
      </c>
      <c r="M17" s="305">
        <f t="shared" ref="M17:M45" si="7">MATCH(K17,M$49:M$53,1)</f>
        <v>1</v>
      </c>
      <c r="N17" s="318">
        <v>0</v>
      </c>
      <c r="O17" s="307">
        <f t="shared" ref="O17:O45" si="8">RANK(N17,N$16:N$45,0)</f>
        <v>10</v>
      </c>
      <c r="P17" s="370">
        <f t="shared" ref="P17:P45" si="9">MATCH(N17,P$49:P$53,1)</f>
        <v>1</v>
      </c>
      <c r="Q17" s="317">
        <v>0</v>
      </c>
      <c r="R17" s="305">
        <f t="shared" ref="R17:R45" si="10">RANK(Q17,Q$16:Q$45,0)</f>
        <v>7</v>
      </c>
      <c r="S17" s="305">
        <f t="shared" ref="S17:S45" si="11">MATCH(Q17,S$49:S$53,1)</f>
        <v>1</v>
      </c>
      <c r="T17" s="318">
        <v>0</v>
      </c>
      <c r="U17" s="307">
        <f t="shared" ref="U17:U45" si="12">RANK(T17,T$16:T$45,0)</f>
        <v>8</v>
      </c>
      <c r="V17" s="370">
        <f t="shared" ref="V17:V45" si="13">MATCH(T17,V$49:V$53,1)</f>
        <v>1</v>
      </c>
      <c r="W17" s="317">
        <v>0</v>
      </c>
      <c r="X17" s="305">
        <f t="shared" ref="X17:X45" si="14">RANK(W17,W$16:W$45,0)</f>
        <v>7</v>
      </c>
      <c r="Y17" s="305">
        <f t="shared" ref="Y17:Y45" si="15">MATCH(W17,Y$49:Y$53,1)</f>
        <v>1</v>
      </c>
      <c r="Z17" s="318">
        <v>0</v>
      </c>
      <c r="AA17" s="307">
        <f t="shared" ref="AA17:AA45" si="16">RANK(Z17,Z$16:Z$45,0)</f>
        <v>7</v>
      </c>
      <c r="AB17" s="370">
        <f t="shared" ref="AB17:AB45" si="17">MATCH(Z17,AB$49:AB$53,1)</f>
        <v>1</v>
      </c>
      <c r="AC17" s="317">
        <v>0</v>
      </c>
      <c r="AD17" s="305">
        <f t="shared" ref="AD17:AD45" si="18">RANK(AC17,AC$16:AC$45,0)</f>
        <v>5</v>
      </c>
      <c r="AE17" s="305">
        <f t="shared" ref="AE17:AE45" si="19">MATCH(AC17,AE$49:AE$53,1)</f>
        <v>1</v>
      </c>
      <c r="AF17" s="318">
        <v>0</v>
      </c>
      <c r="AG17" s="307">
        <f t="shared" ref="AG17:AG45" si="20">RANK(AF17,AF$16:AF$45,0)</f>
        <v>5</v>
      </c>
      <c r="AH17" s="370">
        <f t="shared" ref="AH17:AH45" si="21">MATCH(AF17,AH$49:AH$53,1)</f>
        <v>1</v>
      </c>
      <c r="AI17" s="317">
        <v>0</v>
      </c>
      <c r="AJ17" s="305">
        <f t="shared" ref="AJ17:AJ45" si="22">RANK(AI17,AI$16:AI$45,0)</f>
        <v>7</v>
      </c>
      <c r="AK17" s="305">
        <f t="shared" ref="AK17:AK45" si="23">MATCH(AI17,AK$49:AK$53,1)</f>
        <v>1</v>
      </c>
      <c r="AL17" s="318">
        <v>0</v>
      </c>
      <c r="AM17" s="307">
        <f t="shared" ref="AM17:AM45" si="24">RANK(AL17,AL$16:AL$45,0)</f>
        <v>7</v>
      </c>
      <c r="AN17" s="307">
        <f t="shared" ref="AN17:AN45" si="25">MATCH(AL17,AN$49:AN$53,1)</f>
        <v>1</v>
      </c>
      <c r="AO17" s="317">
        <v>0</v>
      </c>
      <c r="AP17" s="305">
        <f t="shared" ref="AP17:AP45" si="26">RANK(AO17,AO$16:AO$45,0)</f>
        <v>9</v>
      </c>
      <c r="AQ17" s="305">
        <f t="shared" ref="AQ17:AQ45" si="27">MATCH(AO17,AQ$49:AQ$53,1)</f>
        <v>1</v>
      </c>
      <c r="AR17" s="318">
        <v>0</v>
      </c>
      <c r="AS17" s="307">
        <f t="shared" ref="AS17:AS45" si="28">RANK(AR17,AR$16:AR$45,0)</f>
        <v>10</v>
      </c>
      <c r="AT17" s="307">
        <f t="shared" ref="AT17:AT45" si="29">MATCH(AR17,AT$49:AT$53,1)</f>
        <v>1</v>
      </c>
      <c r="AU17" s="311" cm="1">
        <f t="array" aca="1" ref="AU17" ca="1">ROUNDUP(SUMPRODUCT(--($E$7:$AT$7=AU$7),$E17:$AT17,$E$3:$AT$3),3)</f>
        <v>1</v>
      </c>
      <c r="AV17" s="305">
        <v>15</v>
      </c>
      <c r="AW17" s="371" cm="1">
        <f t="array" aca="1" ref="AW17" ca="1">ROUNDUP(SUMPRODUCT(--($E$7:$AT$7=AW$7),$E17:$AT17,$E$3:$AT$3),3)</f>
        <v>1.1429999999999998</v>
      </c>
      <c r="AX17" s="372">
        <f t="shared" ref="AX17:AX45" ca="1" si="30">RANK(AW17,AW$16:AW$45,0)</f>
        <v>18</v>
      </c>
      <c r="AY17" s="501">
        <f t="shared" ref="AY17:AY45" ca="1" si="31">AV17-AX17</f>
        <v>-3</v>
      </c>
      <c r="AZ17" s="316" t="s">
        <v>83</v>
      </c>
      <c r="BA17" s="322" t="s">
        <v>5</v>
      </c>
    </row>
    <row r="18" spans="2:53" s="445" customFormat="1" ht="12.95" customHeight="1">
      <c r="B18" s="315" t="s">
        <v>5</v>
      </c>
      <c r="C18" s="316" t="s">
        <v>26</v>
      </c>
      <c r="D18" s="368" t="s">
        <v>370</v>
      </c>
      <c r="E18" s="369">
        <v>2.4</v>
      </c>
      <c r="F18" s="305">
        <f t="shared" si="3"/>
        <v>9</v>
      </c>
      <c r="G18" s="305">
        <f t="shared" ref="G18:G45" si="32">MATCH(E18,G$49:G$53,1)</f>
        <v>2</v>
      </c>
      <c r="H18" s="320">
        <v>15.76</v>
      </c>
      <c r="I18" s="307">
        <f t="shared" si="4"/>
        <v>8</v>
      </c>
      <c r="J18" s="370">
        <f t="shared" si="5"/>
        <v>4</v>
      </c>
      <c r="K18" s="317">
        <v>0</v>
      </c>
      <c r="L18" s="305">
        <f t="shared" si="6"/>
        <v>9</v>
      </c>
      <c r="M18" s="305">
        <f t="shared" si="7"/>
        <v>1</v>
      </c>
      <c r="N18" s="318">
        <v>0</v>
      </c>
      <c r="O18" s="307">
        <f t="shared" si="8"/>
        <v>10</v>
      </c>
      <c r="P18" s="370">
        <f t="shared" si="9"/>
        <v>1</v>
      </c>
      <c r="Q18" s="317">
        <v>0</v>
      </c>
      <c r="R18" s="305">
        <f t="shared" si="10"/>
        <v>7</v>
      </c>
      <c r="S18" s="305">
        <f t="shared" si="11"/>
        <v>1</v>
      </c>
      <c r="T18" s="318">
        <v>0</v>
      </c>
      <c r="U18" s="307">
        <f t="shared" si="12"/>
        <v>8</v>
      </c>
      <c r="V18" s="370">
        <f t="shared" si="13"/>
        <v>1</v>
      </c>
      <c r="W18" s="317">
        <v>0</v>
      </c>
      <c r="X18" s="305">
        <f t="shared" si="14"/>
        <v>7</v>
      </c>
      <c r="Y18" s="305">
        <f t="shared" si="15"/>
        <v>1</v>
      </c>
      <c r="Z18" s="318">
        <v>0</v>
      </c>
      <c r="AA18" s="307">
        <f t="shared" si="16"/>
        <v>7</v>
      </c>
      <c r="AB18" s="370">
        <f t="shared" si="17"/>
        <v>1</v>
      </c>
      <c r="AC18" s="317">
        <v>0</v>
      </c>
      <c r="AD18" s="305">
        <f t="shared" si="18"/>
        <v>5</v>
      </c>
      <c r="AE18" s="305">
        <f t="shared" si="19"/>
        <v>1</v>
      </c>
      <c r="AF18" s="318">
        <v>0</v>
      </c>
      <c r="AG18" s="307">
        <f t="shared" si="20"/>
        <v>5</v>
      </c>
      <c r="AH18" s="370">
        <f t="shared" si="21"/>
        <v>1</v>
      </c>
      <c r="AI18" s="317">
        <v>0</v>
      </c>
      <c r="AJ18" s="305">
        <f t="shared" si="22"/>
        <v>7</v>
      </c>
      <c r="AK18" s="305">
        <f t="shared" si="23"/>
        <v>1</v>
      </c>
      <c r="AL18" s="318">
        <v>0</v>
      </c>
      <c r="AM18" s="307">
        <f t="shared" si="24"/>
        <v>7</v>
      </c>
      <c r="AN18" s="307">
        <f t="shared" si="25"/>
        <v>1</v>
      </c>
      <c r="AO18" s="317">
        <v>0</v>
      </c>
      <c r="AP18" s="305">
        <f t="shared" si="26"/>
        <v>9</v>
      </c>
      <c r="AQ18" s="305">
        <f t="shared" si="27"/>
        <v>1</v>
      </c>
      <c r="AR18" s="318">
        <v>0</v>
      </c>
      <c r="AS18" s="307">
        <f t="shared" si="28"/>
        <v>10</v>
      </c>
      <c r="AT18" s="307">
        <f t="shared" si="29"/>
        <v>1</v>
      </c>
      <c r="AU18" s="311" cm="1">
        <f t="array" aca="1" ref="AU18" ca="1">ROUNDUP(SUMPRODUCT(--($E$7:$AT$7=AU$7),$E18:$AT18,$E$3:$AT$3),3)</f>
        <v>1.1429999999999998</v>
      </c>
      <c r="AV18" s="305">
        <v>10</v>
      </c>
      <c r="AW18" s="371" cm="1">
        <f t="array" aca="1" ref="AW18" ca="1">ROUNDUP(SUMPRODUCT(--($E$7:$AT$7=AW$7),$E18:$AT18,$E$3:$AT$3),3)</f>
        <v>1.4289999999999998</v>
      </c>
      <c r="AX18" s="372">
        <f t="shared" ca="1" si="30"/>
        <v>10</v>
      </c>
      <c r="AY18" s="501">
        <f t="shared" ca="1" si="31"/>
        <v>0</v>
      </c>
      <c r="AZ18" s="316" t="s">
        <v>26</v>
      </c>
      <c r="BA18" s="322" t="s">
        <v>5</v>
      </c>
    </row>
    <row r="19" spans="2:53" s="445" customFormat="1" ht="12.95" customHeight="1">
      <c r="B19" s="315" t="s">
        <v>5</v>
      </c>
      <c r="C19" s="316" t="s">
        <v>25</v>
      </c>
      <c r="D19" s="368" t="s">
        <v>371</v>
      </c>
      <c r="E19" s="369">
        <v>15.4</v>
      </c>
      <c r="F19" s="305">
        <f t="shared" si="3"/>
        <v>6</v>
      </c>
      <c r="G19" s="305">
        <f t="shared" si="32"/>
        <v>3</v>
      </c>
      <c r="H19" s="320">
        <v>23.425000000000001</v>
      </c>
      <c r="I19" s="307">
        <f t="shared" si="4"/>
        <v>6</v>
      </c>
      <c r="J19" s="370">
        <f t="shared" si="5"/>
        <v>4</v>
      </c>
      <c r="K19" s="317">
        <v>3001</v>
      </c>
      <c r="L19" s="305">
        <f t="shared" si="6"/>
        <v>8</v>
      </c>
      <c r="M19" s="305">
        <f t="shared" si="7"/>
        <v>2</v>
      </c>
      <c r="N19" s="318">
        <v>3000</v>
      </c>
      <c r="O19" s="307">
        <f t="shared" si="8"/>
        <v>9</v>
      </c>
      <c r="P19" s="370">
        <f t="shared" si="9"/>
        <v>2</v>
      </c>
      <c r="Q19" s="317">
        <v>0</v>
      </c>
      <c r="R19" s="305">
        <f t="shared" si="10"/>
        <v>7</v>
      </c>
      <c r="S19" s="305">
        <f t="shared" si="11"/>
        <v>1</v>
      </c>
      <c r="T19" s="318">
        <v>0</v>
      </c>
      <c r="U19" s="307">
        <f t="shared" si="12"/>
        <v>8</v>
      </c>
      <c r="V19" s="370">
        <f t="shared" si="13"/>
        <v>1</v>
      </c>
      <c r="W19" s="317">
        <v>0</v>
      </c>
      <c r="X19" s="305">
        <f t="shared" si="14"/>
        <v>7</v>
      </c>
      <c r="Y19" s="305">
        <f t="shared" si="15"/>
        <v>1</v>
      </c>
      <c r="Z19" s="318">
        <v>0</v>
      </c>
      <c r="AA19" s="307">
        <f t="shared" si="16"/>
        <v>7</v>
      </c>
      <c r="AB19" s="370">
        <f t="shared" si="17"/>
        <v>1</v>
      </c>
      <c r="AC19" s="317">
        <v>0</v>
      </c>
      <c r="AD19" s="305">
        <f t="shared" si="18"/>
        <v>5</v>
      </c>
      <c r="AE19" s="305">
        <f t="shared" si="19"/>
        <v>1</v>
      </c>
      <c r="AF19" s="318">
        <v>0</v>
      </c>
      <c r="AG19" s="307">
        <f t="shared" si="20"/>
        <v>5</v>
      </c>
      <c r="AH19" s="370">
        <f t="shared" si="21"/>
        <v>1</v>
      </c>
      <c r="AI19" s="317">
        <v>100</v>
      </c>
      <c r="AJ19" s="305">
        <f t="shared" si="22"/>
        <v>6</v>
      </c>
      <c r="AK19" s="305">
        <f t="shared" si="23"/>
        <v>2</v>
      </c>
      <c r="AL19" s="318">
        <v>100</v>
      </c>
      <c r="AM19" s="307">
        <f t="shared" si="24"/>
        <v>6</v>
      </c>
      <c r="AN19" s="307">
        <f t="shared" si="25"/>
        <v>2</v>
      </c>
      <c r="AO19" s="317">
        <v>5</v>
      </c>
      <c r="AP19" s="305">
        <f t="shared" si="26"/>
        <v>7</v>
      </c>
      <c r="AQ19" s="305">
        <f t="shared" si="27"/>
        <v>2</v>
      </c>
      <c r="AR19" s="318">
        <v>5150</v>
      </c>
      <c r="AS19" s="307">
        <f t="shared" si="28"/>
        <v>8</v>
      </c>
      <c r="AT19" s="307">
        <f t="shared" si="29"/>
        <v>2</v>
      </c>
      <c r="AU19" s="311" cm="1">
        <f t="array" aca="1" ref="AU19" ca="1">ROUNDUP(SUMPRODUCT(--($E$7:$AT$7=AU$7),$E19:$AT19,$E$3:$AT$3),3)</f>
        <v>1.7149999999999999</v>
      </c>
      <c r="AV19" s="305">
        <v>6</v>
      </c>
      <c r="AW19" s="371" cm="1">
        <f t="array" aca="1" ref="AW19" ca="1">ROUNDUP(SUMPRODUCT(--($E$7:$AT$7=AW$7),$E19:$AT19,$E$3:$AT$3),3)</f>
        <v>1.8579999999999999</v>
      </c>
      <c r="AX19" s="372">
        <f t="shared" ca="1" si="30"/>
        <v>6</v>
      </c>
      <c r="AY19" s="501">
        <f t="shared" ca="1" si="31"/>
        <v>0</v>
      </c>
      <c r="AZ19" s="316" t="s">
        <v>25</v>
      </c>
      <c r="BA19" s="322" t="s">
        <v>5</v>
      </c>
    </row>
    <row r="20" spans="2:53" s="445" customFormat="1" ht="12.95" customHeight="1">
      <c r="B20" s="315" t="s">
        <v>5</v>
      </c>
      <c r="C20" s="316" t="s">
        <v>55</v>
      </c>
      <c r="D20" s="368" t="s">
        <v>372</v>
      </c>
      <c r="E20" s="369">
        <v>37.5</v>
      </c>
      <c r="F20" s="305">
        <f t="shared" si="3"/>
        <v>4</v>
      </c>
      <c r="G20" s="305">
        <f t="shared" si="32"/>
        <v>4</v>
      </c>
      <c r="H20" s="320">
        <v>37.5</v>
      </c>
      <c r="I20" s="307">
        <f t="shared" si="4"/>
        <v>4</v>
      </c>
      <c r="J20" s="370">
        <f t="shared" si="5"/>
        <v>5</v>
      </c>
      <c r="K20" s="317">
        <v>0</v>
      </c>
      <c r="L20" s="305">
        <f t="shared" si="6"/>
        <v>9</v>
      </c>
      <c r="M20" s="305">
        <f t="shared" si="7"/>
        <v>1</v>
      </c>
      <c r="N20" s="318">
        <v>0</v>
      </c>
      <c r="O20" s="307">
        <f t="shared" si="8"/>
        <v>10</v>
      </c>
      <c r="P20" s="370">
        <f t="shared" si="9"/>
        <v>1</v>
      </c>
      <c r="Q20" s="317">
        <v>0</v>
      </c>
      <c r="R20" s="305">
        <f t="shared" si="10"/>
        <v>7</v>
      </c>
      <c r="S20" s="305">
        <f t="shared" si="11"/>
        <v>1</v>
      </c>
      <c r="T20" s="318">
        <v>0</v>
      </c>
      <c r="U20" s="307">
        <f t="shared" si="12"/>
        <v>8</v>
      </c>
      <c r="V20" s="370">
        <f t="shared" si="13"/>
        <v>1</v>
      </c>
      <c r="W20" s="317">
        <v>0</v>
      </c>
      <c r="X20" s="305">
        <f t="shared" si="14"/>
        <v>7</v>
      </c>
      <c r="Y20" s="305">
        <f t="shared" si="15"/>
        <v>1</v>
      </c>
      <c r="Z20" s="318">
        <v>0</v>
      </c>
      <c r="AA20" s="307">
        <f t="shared" si="16"/>
        <v>7</v>
      </c>
      <c r="AB20" s="370">
        <f t="shared" si="17"/>
        <v>1</v>
      </c>
      <c r="AC20" s="317">
        <v>0</v>
      </c>
      <c r="AD20" s="305">
        <f t="shared" si="18"/>
        <v>5</v>
      </c>
      <c r="AE20" s="305">
        <f t="shared" si="19"/>
        <v>1</v>
      </c>
      <c r="AF20" s="318">
        <v>0</v>
      </c>
      <c r="AG20" s="307">
        <f t="shared" si="20"/>
        <v>5</v>
      </c>
      <c r="AH20" s="370">
        <f t="shared" si="21"/>
        <v>1</v>
      </c>
      <c r="AI20" s="317">
        <v>0</v>
      </c>
      <c r="AJ20" s="305">
        <f t="shared" si="22"/>
        <v>7</v>
      </c>
      <c r="AK20" s="305">
        <f t="shared" si="23"/>
        <v>1</v>
      </c>
      <c r="AL20" s="318">
        <v>0</v>
      </c>
      <c r="AM20" s="307">
        <f t="shared" si="24"/>
        <v>7</v>
      </c>
      <c r="AN20" s="307">
        <f t="shared" si="25"/>
        <v>1</v>
      </c>
      <c r="AO20" s="317">
        <v>50</v>
      </c>
      <c r="AP20" s="305">
        <f t="shared" si="26"/>
        <v>2</v>
      </c>
      <c r="AQ20" s="305">
        <f t="shared" si="27"/>
        <v>4</v>
      </c>
      <c r="AR20" s="318">
        <v>50000</v>
      </c>
      <c r="AS20" s="307">
        <f t="shared" si="28"/>
        <v>5</v>
      </c>
      <c r="AT20" s="307">
        <f t="shared" si="29"/>
        <v>3</v>
      </c>
      <c r="AU20" s="311" cm="1">
        <f t="array" aca="1" ref="AU20" ca="1">ROUNDUP(SUMPRODUCT(--($E$7:$AT$7=AU$7),$E20:$AT20,$E$3:$AT$3),3)</f>
        <v>1.8579999999999999</v>
      </c>
      <c r="AV20" s="305">
        <v>6</v>
      </c>
      <c r="AW20" s="371" cm="1">
        <f t="array" aca="1" ref="AW20" ca="1">ROUNDUP(SUMPRODUCT(--($E$7:$AT$7=AW$7),$E20:$AT20,$E$3:$AT$3),3)</f>
        <v>1.8579999999999999</v>
      </c>
      <c r="AX20" s="372">
        <f t="shared" ca="1" si="30"/>
        <v>6</v>
      </c>
      <c r="AY20" s="501">
        <f t="shared" ca="1" si="31"/>
        <v>0</v>
      </c>
      <c r="AZ20" s="316" t="s">
        <v>55</v>
      </c>
      <c r="BA20" s="322" t="s">
        <v>5</v>
      </c>
    </row>
    <row r="21" spans="2:53" s="445" customFormat="1" ht="12.95" customHeight="1">
      <c r="B21" s="315" t="s">
        <v>5</v>
      </c>
      <c r="C21" s="316" t="s">
        <v>339</v>
      </c>
      <c r="D21" s="368" t="s">
        <v>373</v>
      </c>
      <c r="E21" s="369">
        <v>0</v>
      </c>
      <c r="F21" s="305">
        <f t="shared" si="3"/>
        <v>13</v>
      </c>
      <c r="G21" s="305">
        <f t="shared" si="32"/>
        <v>1</v>
      </c>
      <c r="H21" s="320">
        <v>0</v>
      </c>
      <c r="I21" s="307">
        <f t="shared" si="4"/>
        <v>20</v>
      </c>
      <c r="J21" s="370">
        <f t="shared" si="5"/>
        <v>1</v>
      </c>
      <c r="K21" s="317">
        <v>0</v>
      </c>
      <c r="L21" s="305">
        <f t="shared" si="6"/>
        <v>9</v>
      </c>
      <c r="M21" s="305">
        <f t="shared" si="7"/>
        <v>1</v>
      </c>
      <c r="N21" s="318">
        <v>0</v>
      </c>
      <c r="O21" s="307">
        <f t="shared" si="8"/>
        <v>10</v>
      </c>
      <c r="P21" s="370">
        <f t="shared" si="9"/>
        <v>1</v>
      </c>
      <c r="Q21" s="317">
        <v>205</v>
      </c>
      <c r="R21" s="305">
        <f t="shared" si="10"/>
        <v>6</v>
      </c>
      <c r="S21" s="305">
        <f t="shared" si="11"/>
        <v>2</v>
      </c>
      <c r="T21" s="318">
        <v>205</v>
      </c>
      <c r="U21" s="307">
        <f t="shared" si="12"/>
        <v>7</v>
      </c>
      <c r="V21" s="370">
        <f t="shared" si="13"/>
        <v>2</v>
      </c>
      <c r="W21" s="317">
        <v>0</v>
      </c>
      <c r="X21" s="305">
        <f t="shared" si="14"/>
        <v>7</v>
      </c>
      <c r="Y21" s="305">
        <f t="shared" si="15"/>
        <v>1</v>
      </c>
      <c r="Z21" s="318">
        <v>0</v>
      </c>
      <c r="AA21" s="307">
        <f t="shared" si="16"/>
        <v>7</v>
      </c>
      <c r="AB21" s="370">
        <f t="shared" si="17"/>
        <v>1</v>
      </c>
      <c r="AC21" s="317">
        <v>0</v>
      </c>
      <c r="AD21" s="305">
        <f t="shared" si="18"/>
        <v>5</v>
      </c>
      <c r="AE21" s="305">
        <f t="shared" si="19"/>
        <v>1</v>
      </c>
      <c r="AF21" s="318">
        <v>0</v>
      </c>
      <c r="AG21" s="307">
        <f t="shared" si="20"/>
        <v>5</v>
      </c>
      <c r="AH21" s="370">
        <f t="shared" si="21"/>
        <v>1</v>
      </c>
      <c r="AI21" s="317">
        <v>0</v>
      </c>
      <c r="AJ21" s="305">
        <f t="shared" si="22"/>
        <v>7</v>
      </c>
      <c r="AK21" s="305">
        <f t="shared" si="23"/>
        <v>1</v>
      </c>
      <c r="AL21" s="318">
        <v>0</v>
      </c>
      <c r="AM21" s="307">
        <f t="shared" si="24"/>
        <v>7</v>
      </c>
      <c r="AN21" s="307">
        <f t="shared" si="25"/>
        <v>1</v>
      </c>
      <c r="AO21" s="317">
        <v>12</v>
      </c>
      <c r="AP21" s="305">
        <f t="shared" si="26"/>
        <v>5</v>
      </c>
      <c r="AQ21" s="305">
        <f t="shared" si="27"/>
        <v>2</v>
      </c>
      <c r="AR21" s="318">
        <v>12000</v>
      </c>
      <c r="AS21" s="307">
        <f t="shared" si="28"/>
        <v>6</v>
      </c>
      <c r="AT21" s="307">
        <f t="shared" si="29"/>
        <v>3</v>
      </c>
      <c r="AU21" s="311" cm="1">
        <f t="array" aca="1" ref="AU21" ca="1">ROUNDUP(SUMPRODUCT(--($E$7:$AT$7=AU$7),$E21:$AT21,$E$3:$AT$3),3)</f>
        <v>1.2859999999999998</v>
      </c>
      <c r="AV21" s="305">
        <v>10</v>
      </c>
      <c r="AW21" s="371" cm="1">
        <f t="array" aca="1" ref="AW21" ca="1">ROUNDUP(SUMPRODUCT(--($E$7:$AT$7=AW$7),$E21:$AT21,$E$3:$AT$3),3)</f>
        <v>1.4289999999999998</v>
      </c>
      <c r="AX21" s="372">
        <f t="shared" ca="1" si="30"/>
        <v>10</v>
      </c>
      <c r="AY21" s="501">
        <f t="shared" ca="1" si="31"/>
        <v>0</v>
      </c>
      <c r="AZ21" s="316" t="s">
        <v>339</v>
      </c>
      <c r="BA21" s="322" t="s">
        <v>5</v>
      </c>
    </row>
    <row r="22" spans="2:53" s="445" customFormat="1" ht="12.95" customHeight="1">
      <c r="B22" s="315" t="s">
        <v>5</v>
      </c>
      <c r="C22" s="316" t="s">
        <v>27</v>
      </c>
      <c r="D22" s="368" t="s">
        <v>374</v>
      </c>
      <c r="E22" s="369">
        <v>70</v>
      </c>
      <c r="F22" s="305">
        <f t="shared" si="3"/>
        <v>2</v>
      </c>
      <c r="G22" s="305">
        <f t="shared" si="32"/>
        <v>5</v>
      </c>
      <c r="H22" s="320">
        <v>65</v>
      </c>
      <c r="I22" s="307">
        <f t="shared" si="4"/>
        <v>3</v>
      </c>
      <c r="J22" s="370">
        <f t="shared" si="5"/>
        <v>5</v>
      </c>
      <c r="K22" s="317">
        <v>30000</v>
      </c>
      <c r="L22" s="305">
        <f t="shared" si="6"/>
        <v>4</v>
      </c>
      <c r="M22" s="305">
        <f t="shared" si="7"/>
        <v>3</v>
      </c>
      <c r="N22" s="318">
        <v>30000</v>
      </c>
      <c r="O22" s="307">
        <f t="shared" si="8"/>
        <v>4</v>
      </c>
      <c r="P22" s="370">
        <f t="shared" si="9"/>
        <v>4</v>
      </c>
      <c r="Q22" s="317">
        <v>0</v>
      </c>
      <c r="R22" s="305">
        <f t="shared" si="10"/>
        <v>7</v>
      </c>
      <c r="S22" s="305">
        <f t="shared" si="11"/>
        <v>1</v>
      </c>
      <c r="T22" s="318">
        <v>0</v>
      </c>
      <c r="U22" s="307">
        <f t="shared" si="12"/>
        <v>8</v>
      </c>
      <c r="V22" s="370">
        <f t="shared" si="13"/>
        <v>1</v>
      </c>
      <c r="W22" s="317">
        <v>0</v>
      </c>
      <c r="X22" s="305">
        <f t="shared" si="14"/>
        <v>7</v>
      </c>
      <c r="Y22" s="305">
        <f t="shared" si="15"/>
        <v>1</v>
      </c>
      <c r="Z22" s="318">
        <v>20000</v>
      </c>
      <c r="AA22" s="307">
        <f t="shared" si="16"/>
        <v>5</v>
      </c>
      <c r="AB22" s="370">
        <f t="shared" si="17"/>
        <v>2</v>
      </c>
      <c r="AC22" s="317">
        <v>0</v>
      </c>
      <c r="AD22" s="305">
        <f t="shared" si="18"/>
        <v>5</v>
      </c>
      <c r="AE22" s="305">
        <f t="shared" si="19"/>
        <v>1</v>
      </c>
      <c r="AF22" s="318">
        <v>0</v>
      </c>
      <c r="AG22" s="307">
        <f t="shared" si="20"/>
        <v>5</v>
      </c>
      <c r="AH22" s="370">
        <f t="shared" si="21"/>
        <v>1</v>
      </c>
      <c r="AI22" s="317">
        <v>340</v>
      </c>
      <c r="AJ22" s="305">
        <f t="shared" si="22"/>
        <v>4</v>
      </c>
      <c r="AK22" s="305">
        <f t="shared" si="23"/>
        <v>3</v>
      </c>
      <c r="AL22" s="318">
        <v>340</v>
      </c>
      <c r="AM22" s="307">
        <f t="shared" si="24"/>
        <v>4</v>
      </c>
      <c r="AN22" s="307">
        <f t="shared" si="25"/>
        <v>3</v>
      </c>
      <c r="AO22" s="317">
        <v>0</v>
      </c>
      <c r="AP22" s="305">
        <f t="shared" si="26"/>
        <v>9</v>
      </c>
      <c r="AQ22" s="305">
        <f t="shared" si="27"/>
        <v>1</v>
      </c>
      <c r="AR22" s="318">
        <v>7000</v>
      </c>
      <c r="AS22" s="307">
        <f t="shared" si="28"/>
        <v>7</v>
      </c>
      <c r="AT22" s="307">
        <f t="shared" si="29"/>
        <v>2</v>
      </c>
      <c r="AU22" s="311" cm="1">
        <f t="array" aca="1" ref="AU22" ca="1">ROUNDUP(SUMPRODUCT(--($E$7:$AT$7=AU$7),$E22:$AT22,$E$3:$AT$3),3)</f>
        <v>2.1429999999999998</v>
      </c>
      <c r="AV22" s="305">
        <v>5</v>
      </c>
      <c r="AW22" s="371" cm="1">
        <f t="array" aca="1" ref="AW22" ca="1">ROUNDUP(SUMPRODUCT(--($E$7:$AT$7=AW$7),$E22:$AT22,$E$3:$AT$3),3)</f>
        <v>2.5720000000000001</v>
      </c>
      <c r="AX22" s="372">
        <f t="shared" ca="1" si="30"/>
        <v>5</v>
      </c>
      <c r="AY22" s="501">
        <f t="shared" ca="1" si="31"/>
        <v>0</v>
      </c>
      <c r="AZ22" s="316" t="s">
        <v>27</v>
      </c>
      <c r="BA22" s="322" t="s">
        <v>5</v>
      </c>
    </row>
    <row r="23" spans="2:53" s="445" customFormat="1" ht="12.95" customHeight="1">
      <c r="B23" s="315" t="s">
        <v>5</v>
      </c>
      <c r="C23" s="316" t="s">
        <v>340</v>
      </c>
      <c r="D23" s="368" t="s">
        <v>375</v>
      </c>
      <c r="E23" s="369">
        <v>0</v>
      </c>
      <c r="F23" s="305">
        <f t="shared" si="3"/>
        <v>13</v>
      </c>
      <c r="G23" s="305">
        <f t="shared" si="32"/>
        <v>1</v>
      </c>
      <c r="H23" s="320">
        <v>0</v>
      </c>
      <c r="I23" s="307">
        <f t="shared" si="4"/>
        <v>20</v>
      </c>
      <c r="J23" s="370">
        <f t="shared" si="5"/>
        <v>1</v>
      </c>
      <c r="K23" s="317">
        <v>0</v>
      </c>
      <c r="L23" s="305">
        <f t="shared" si="6"/>
        <v>9</v>
      </c>
      <c r="M23" s="305">
        <f t="shared" si="7"/>
        <v>1</v>
      </c>
      <c r="N23" s="318">
        <v>0</v>
      </c>
      <c r="O23" s="307">
        <f t="shared" si="8"/>
        <v>10</v>
      </c>
      <c r="P23" s="370">
        <f t="shared" si="9"/>
        <v>1</v>
      </c>
      <c r="Q23" s="317">
        <v>0</v>
      </c>
      <c r="R23" s="305">
        <f t="shared" si="10"/>
        <v>7</v>
      </c>
      <c r="S23" s="305">
        <f t="shared" si="11"/>
        <v>1</v>
      </c>
      <c r="T23" s="318">
        <v>0</v>
      </c>
      <c r="U23" s="307">
        <f t="shared" si="12"/>
        <v>8</v>
      </c>
      <c r="V23" s="370">
        <f t="shared" si="13"/>
        <v>1</v>
      </c>
      <c r="W23" s="317">
        <v>0</v>
      </c>
      <c r="X23" s="305">
        <f t="shared" si="14"/>
        <v>7</v>
      </c>
      <c r="Y23" s="305">
        <f t="shared" si="15"/>
        <v>1</v>
      </c>
      <c r="Z23" s="318">
        <v>0</v>
      </c>
      <c r="AA23" s="307">
        <f t="shared" si="16"/>
        <v>7</v>
      </c>
      <c r="AB23" s="370">
        <f t="shared" si="17"/>
        <v>1</v>
      </c>
      <c r="AC23" s="317">
        <v>0</v>
      </c>
      <c r="AD23" s="305">
        <f t="shared" si="18"/>
        <v>5</v>
      </c>
      <c r="AE23" s="305">
        <f t="shared" si="19"/>
        <v>1</v>
      </c>
      <c r="AF23" s="318">
        <v>0</v>
      </c>
      <c r="AG23" s="307">
        <f t="shared" si="20"/>
        <v>5</v>
      </c>
      <c r="AH23" s="370">
        <f t="shared" si="21"/>
        <v>1</v>
      </c>
      <c r="AI23" s="317">
        <v>0</v>
      </c>
      <c r="AJ23" s="305">
        <f t="shared" si="22"/>
        <v>7</v>
      </c>
      <c r="AK23" s="305">
        <f t="shared" si="23"/>
        <v>1</v>
      </c>
      <c r="AL23" s="318">
        <v>0</v>
      </c>
      <c r="AM23" s="307">
        <f t="shared" si="24"/>
        <v>7</v>
      </c>
      <c r="AN23" s="307">
        <f t="shared" si="25"/>
        <v>1</v>
      </c>
      <c r="AO23" s="317">
        <v>0</v>
      </c>
      <c r="AP23" s="305">
        <f t="shared" si="26"/>
        <v>9</v>
      </c>
      <c r="AQ23" s="305">
        <f t="shared" si="27"/>
        <v>1</v>
      </c>
      <c r="AR23" s="318">
        <v>0</v>
      </c>
      <c r="AS23" s="307">
        <f t="shared" si="28"/>
        <v>10</v>
      </c>
      <c r="AT23" s="307">
        <f t="shared" si="29"/>
        <v>1</v>
      </c>
      <c r="AU23" s="311" cm="1">
        <f t="array" aca="1" ref="AU23" ca="1">ROUNDUP(SUMPRODUCT(--($E$7:$AT$7=AU$7),$E23:$AT23,$E$3:$AT$3),3)</f>
        <v>1</v>
      </c>
      <c r="AV23" s="305">
        <v>18</v>
      </c>
      <c r="AW23" s="371" cm="1">
        <f t="array" aca="1" ref="AW23" ca="1">ROUNDUP(SUMPRODUCT(--($E$7:$AT$7=AW$7),$E23:$AT23,$E$3:$AT$3),3)</f>
        <v>1</v>
      </c>
      <c r="AX23" s="372">
        <f t="shared" ca="1" si="30"/>
        <v>20</v>
      </c>
      <c r="AY23" s="501">
        <f t="shared" ca="1" si="31"/>
        <v>-2</v>
      </c>
      <c r="AZ23" s="316" t="s">
        <v>340</v>
      </c>
      <c r="BA23" s="322" t="s">
        <v>5</v>
      </c>
    </row>
    <row r="24" spans="2:53" s="445" customFormat="1" ht="12.95" customHeight="1">
      <c r="B24" s="315" t="s">
        <v>5</v>
      </c>
      <c r="C24" s="316" t="s">
        <v>28</v>
      </c>
      <c r="D24" s="368" t="s">
        <v>376</v>
      </c>
      <c r="E24" s="369">
        <v>16</v>
      </c>
      <c r="F24" s="305">
        <f t="shared" si="3"/>
        <v>5</v>
      </c>
      <c r="G24" s="305">
        <f t="shared" si="32"/>
        <v>4</v>
      </c>
      <c r="H24" s="320">
        <v>16.350000000000001</v>
      </c>
      <c r="I24" s="307">
        <f t="shared" si="4"/>
        <v>7</v>
      </c>
      <c r="J24" s="370">
        <f t="shared" si="5"/>
        <v>4</v>
      </c>
      <c r="K24" s="317">
        <v>0</v>
      </c>
      <c r="L24" s="305">
        <f t="shared" si="6"/>
        <v>9</v>
      </c>
      <c r="M24" s="305">
        <f t="shared" si="7"/>
        <v>1</v>
      </c>
      <c r="N24" s="318">
        <v>0</v>
      </c>
      <c r="O24" s="307">
        <f t="shared" si="8"/>
        <v>10</v>
      </c>
      <c r="P24" s="370">
        <f t="shared" si="9"/>
        <v>1</v>
      </c>
      <c r="Q24" s="317">
        <v>0</v>
      </c>
      <c r="R24" s="305">
        <f t="shared" si="10"/>
        <v>7</v>
      </c>
      <c r="S24" s="305">
        <f t="shared" si="11"/>
        <v>1</v>
      </c>
      <c r="T24" s="318">
        <v>0</v>
      </c>
      <c r="U24" s="307">
        <f t="shared" si="12"/>
        <v>8</v>
      </c>
      <c r="V24" s="370">
        <f t="shared" si="13"/>
        <v>1</v>
      </c>
      <c r="W24" s="317">
        <v>0</v>
      </c>
      <c r="X24" s="305">
        <f t="shared" si="14"/>
        <v>7</v>
      </c>
      <c r="Y24" s="305">
        <f t="shared" si="15"/>
        <v>1</v>
      </c>
      <c r="Z24" s="318">
        <v>0</v>
      </c>
      <c r="AA24" s="307">
        <f t="shared" si="16"/>
        <v>7</v>
      </c>
      <c r="AB24" s="370">
        <f t="shared" si="17"/>
        <v>1</v>
      </c>
      <c r="AC24" s="317">
        <v>0</v>
      </c>
      <c r="AD24" s="305">
        <f t="shared" si="18"/>
        <v>5</v>
      </c>
      <c r="AE24" s="305">
        <f t="shared" si="19"/>
        <v>1</v>
      </c>
      <c r="AF24" s="318">
        <v>0</v>
      </c>
      <c r="AG24" s="307">
        <f t="shared" si="20"/>
        <v>5</v>
      </c>
      <c r="AH24" s="370">
        <f t="shared" si="21"/>
        <v>1</v>
      </c>
      <c r="AI24" s="317">
        <v>0</v>
      </c>
      <c r="AJ24" s="305">
        <f t="shared" si="22"/>
        <v>7</v>
      </c>
      <c r="AK24" s="305">
        <f t="shared" si="23"/>
        <v>1</v>
      </c>
      <c r="AL24" s="318">
        <v>0</v>
      </c>
      <c r="AM24" s="307">
        <f t="shared" si="24"/>
        <v>7</v>
      </c>
      <c r="AN24" s="307">
        <f t="shared" si="25"/>
        <v>1</v>
      </c>
      <c r="AO24" s="317">
        <v>0</v>
      </c>
      <c r="AP24" s="305">
        <f t="shared" si="26"/>
        <v>9</v>
      </c>
      <c r="AQ24" s="305">
        <f t="shared" si="27"/>
        <v>1</v>
      </c>
      <c r="AR24" s="318">
        <v>0</v>
      </c>
      <c r="AS24" s="307">
        <f t="shared" si="28"/>
        <v>10</v>
      </c>
      <c r="AT24" s="307">
        <f t="shared" si="29"/>
        <v>1</v>
      </c>
      <c r="AU24" s="311" cm="1">
        <f t="array" aca="1" ref="AU24" ca="1">ROUNDUP(SUMPRODUCT(--($E$7:$AT$7=AU$7),$E24:$AT24,$E$3:$AT$3),3)</f>
        <v>1.4289999999999998</v>
      </c>
      <c r="AV24" s="305">
        <v>9</v>
      </c>
      <c r="AW24" s="371" cm="1">
        <f t="array" aca="1" ref="AW24" ca="1">ROUNDUP(SUMPRODUCT(--($E$7:$AT$7=AW$7),$E24:$AT24,$E$3:$AT$3),3)</f>
        <v>1.4289999999999998</v>
      </c>
      <c r="AX24" s="372">
        <f t="shared" ca="1" si="30"/>
        <v>10</v>
      </c>
      <c r="AY24" s="501">
        <f t="shared" ca="1" si="31"/>
        <v>-1</v>
      </c>
      <c r="AZ24" s="316" t="s">
        <v>28</v>
      </c>
      <c r="BA24" s="322" t="s">
        <v>5</v>
      </c>
    </row>
    <row r="25" spans="2:53" s="445" customFormat="1" ht="12.95" customHeight="1">
      <c r="B25" s="315" t="s">
        <v>5</v>
      </c>
      <c r="C25" s="316" t="s">
        <v>341</v>
      </c>
      <c r="D25" s="368" t="s">
        <v>377</v>
      </c>
      <c r="E25" s="369">
        <v>0</v>
      </c>
      <c r="F25" s="305">
        <f t="shared" si="3"/>
        <v>13</v>
      </c>
      <c r="G25" s="305">
        <f t="shared" si="32"/>
        <v>1</v>
      </c>
      <c r="H25" s="320">
        <v>0</v>
      </c>
      <c r="I25" s="307">
        <f t="shared" si="4"/>
        <v>20</v>
      </c>
      <c r="J25" s="370">
        <f t="shared" si="5"/>
        <v>1</v>
      </c>
      <c r="K25" s="317">
        <v>0</v>
      </c>
      <c r="L25" s="305">
        <f t="shared" si="6"/>
        <v>9</v>
      </c>
      <c r="M25" s="305">
        <f t="shared" si="7"/>
        <v>1</v>
      </c>
      <c r="N25" s="318">
        <v>0</v>
      </c>
      <c r="O25" s="307">
        <f t="shared" si="8"/>
        <v>10</v>
      </c>
      <c r="P25" s="370">
        <f t="shared" si="9"/>
        <v>1</v>
      </c>
      <c r="Q25" s="317">
        <v>0</v>
      </c>
      <c r="R25" s="305">
        <f t="shared" si="10"/>
        <v>7</v>
      </c>
      <c r="S25" s="305">
        <f t="shared" si="11"/>
        <v>1</v>
      </c>
      <c r="T25" s="318">
        <v>0</v>
      </c>
      <c r="U25" s="307">
        <f t="shared" si="12"/>
        <v>8</v>
      </c>
      <c r="V25" s="370">
        <f t="shared" si="13"/>
        <v>1</v>
      </c>
      <c r="W25" s="317">
        <v>0</v>
      </c>
      <c r="X25" s="305">
        <f t="shared" si="14"/>
        <v>7</v>
      </c>
      <c r="Y25" s="305">
        <f t="shared" si="15"/>
        <v>1</v>
      </c>
      <c r="Z25" s="318">
        <v>0</v>
      </c>
      <c r="AA25" s="307">
        <f t="shared" si="16"/>
        <v>7</v>
      </c>
      <c r="AB25" s="370">
        <f t="shared" si="17"/>
        <v>1</v>
      </c>
      <c r="AC25" s="317">
        <v>0</v>
      </c>
      <c r="AD25" s="305">
        <f t="shared" si="18"/>
        <v>5</v>
      </c>
      <c r="AE25" s="305">
        <f t="shared" si="19"/>
        <v>1</v>
      </c>
      <c r="AF25" s="318">
        <v>0</v>
      </c>
      <c r="AG25" s="307">
        <f t="shared" si="20"/>
        <v>5</v>
      </c>
      <c r="AH25" s="370">
        <f t="shared" si="21"/>
        <v>1</v>
      </c>
      <c r="AI25" s="317">
        <v>0</v>
      </c>
      <c r="AJ25" s="305">
        <f t="shared" si="22"/>
        <v>7</v>
      </c>
      <c r="AK25" s="305">
        <f t="shared" si="23"/>
        <v>1</v>
      </c>
      <c r="AL25" s="318">
        <v>0</v>
      </c>
      <c r="AM25" s="307">
        <f t="shared" si="24"/>
        <v>7</v>
      </c>
      <c r="AN25" s="307">
        <f t="shared" si="25"/>
        <v>1</v>
      </c>
      <c r="AO25" s="317">
        <v>0</v>
      </c>
      <c r="AP25" s="305">
        <f t="shared" si="26"/>
        <v>9</v>
      </c>
      <c r="AQ25" s="305">
        <f t="shared" si="27"/>
        <v>1</v>
      </c>
      <c r="AR25" s="318">
        <v>0</v>
      </c>
      <c r="AS25" s="307">
        <f t="shared" si="28"/>
        <v>10</v>
      </c>
      <c r="AT25" s="307">
        <f t="shared" si="29"/>
        <v>1</v>
      </c>
      <c r="AU25" s="311" cm="1">
        <f t="array" aca="1" ref="AU25" ca="1">ROUNDUP(SUMPRODUCT(--($E$7:$AT$7=AU$7),$E25:$AT25,$E$3:$AT$3),3)</f>
        <v>1</v>
      </c>
      <c r="AV25" s="305">
        <v>18</v>
      </c>
      <c r="AW25" s="371" cm="1">
        <f t="array" aca="1" ref="AW25" ca="1">ROUNDUP(SUMPRODUCT(--($E$7:$AT$7=AW$7),$E25:$AT25,$E$3:$AT$3),3)</f>
        <v>1</v>
      </c>
      <c r="AX25" s="372">
        <f t="shared" ca="1" si="30"/>
        <v>20</v>
      </c>
      <c r="AY25" s="501">
        <f t="shared" ca="1" si="31"/>
        <v>-2</v>
      </c>
      <c r="AZ25" s="316" t="s">
        <v>341</v>
      </c>
      <c r="BA25" s="322" t="s">
        <v>5</v>
      </c>
    </row>
    <row r="26" spans="2:53" s="445" customFormat="1" ht="12.95" customHeight="1">
      <c r="B26" s="323" t="s">
        <v>5</v>
      </c>
      <c r="C26" s="324" t="s">
        <v>342</v>
      </c>
      <c r="D26" s="373" t="s">
        <v>378</v>
      </c>
      <c r="E26" s="374">
        <v>0</v>
      </c>
      <c r="F26" s="326">
        <f t="shared" si="3"/>
        <v>13</v>
      </c>
      <c r="G26" s="326">
        <f t="shared" si="32"/>
        <v>1</v>
      </c>
      <c r="H26" s="330">
        <v>1.9</v>
      </c>
      <c r="I26" s="328">
        <f t="shared" si="4"/>
        <v>14</v>
      </c>
      <c r="J26" s="346">
        <f t="shared" si="5"/>
        <v>2</v>
      </c>
      <c r="K26" s="325">
        <v>0</v>
      </c>
      <c r="L26" s="326">
        <f t="shared" si="6"/>
        <v>9</v>
      </c>
      <c r="M26" s="326">
        <f t="shared" si="7"/>
        <v>1</v>
      </c>
      <c r="N26" s="327">
        <v>0</v>
      </c>
      <c r="O26" s="328">
        <f t="shared" si="8"/>
        <v>10</v>
      </c>
      <c r="P26" s="346">
        <f t="shared" si="9"/>
        <v>1</v>
      </c>
      <c r="Q26" s="325">
        <v>0</v>
      </c>
      <c r="R26" s="326">
        <f t="shared" si="10"/>
        <v>7</v>
      </c>
      <c r="S26" s="326">
        <f t="shared" si="11"/>
        <v>1</v>
      </c>
      <c r="T26" s="327">
        <v>0</v>
      </c>
      <c r="U26" s="328">
        <f t="shared" si="12"/>
        <v>8</v>
      </c>
      <c r="V26" s="346">
        <f t="shared" si="13"/>
        <v>1</v>
      </c>
      <c r="W26" s="325">
        <v>10000</v>
      </c>
      <c r="X26" s="326">
        <f t="shared" si="14"/>
        <v>5</v>
      </c>
      <c r="Y26" s="326">
        <f t="shared" si="15"/>
        <v>2</v>
      </c>
      <c r="Z26" s="327">
        <v>10000</v>
      </c>
      <c r="AA26" s="328">
        <f t="shared" si="16"/>
        <v>6</v>
      </c>
      <c r="AB26" s="346">
        <f t="shared" si="17"/>
        <v>2</v>
      </c>
      <c r="AC26" s="325">
        <v>0</v>
      </c>
      <c r="AD26" s="326">
        <f t="shared" si="18"/>
        <v>5</v>
      </c>
      <c r="AE26" s="326">
        <f t="shared" si="19"/>
        <v>1</v>
      </c>
      <c r="AF26" s="327">
        <v>0</v>
      </c>
      <c r="AG26" s="328">
        <f t="shared" si="20"/>
        <v>5</v>
      </c>
      <c r="AH26" s="346">
        <f t="shared" si="21"/>
        <v>1</v>
      </c>
      <c r="AI26" s="325">
        <v>0</v>
      </c>
      <c r="AJ26" s="326">
        <f t="shared" si="22"/>
        <v>7</v>
      </c>
      <c r="AK26" s="326">
        <f t="shared" si="23"/>
        <v>1</v>
      </c>
      <c r="AL26" s="327">
        <v>0</v>
      </c>
      <c r="AM26" s="328">
        <f t="shared" si="24"/>
        <v>7</v>
      </c>
      <c r="AN26" s="328">
        <f t="shared" si="25"/>
        <v>1</v>
      </c>
      <c r="AO26" s="325">
        <v>0</v>
      </c>
      <c r="AP26" s="326">
        <f t="shared" si="26"/>
        <v>9</v>
      </c>
      <c r="AQ26" s="326">
        <f t="shared" si="27"/>
        <v>1</v>
      </c>
      <c r="AR26" s="327">
        <v>0</v>
      </c>
      <c r="AS26" s="328">
        <f t="shared" si="28"/>
        <v>10</v>
      </c>
      <c r="AT26" s="328">
        <f t="shared" si="29"/>
        <v>1</v>
      </c>
      <c r="AU26" s="332" cm="1">
        <f t="array" aca="1" ref="AU26" ca="1">ROUNDUP(SUMPRODUCT(--($E$7:$AT$7=AU$7),$E26:$AT26,$E$3:$AT$3),3)</f>
        <v>1.1429999999999998</v>
      </c>
      <c r="AV26" s="326">
        <v>15</v>
      </c>
      <c r="AW26" s="375" cm="1">
        <f t="array" aca="1" ref="AW26" ca="1">ROUNDUP(SUMPRODUCT(--($E$7:$AT$7=AW$7),$E26:$AT26,$E$3:$AT$3),3)</f>
        <v>1.2859999999999998</v>
      </c>
      <c r="AX26" s="376">
        <f t="shared" ca="1" si="30"/>
        <v>15</v>
      </c>
      <c r="AY26" s="501">
        <f t="shared" ca="1" si="31"/>
        <v>0</v>
      </c>
      <c r="AZ26" s="324" t="s">
        <v>342</v>
      </c>
      <c r="BA26" s="334" t="s">
        <v>5</v>
      </c>
    </row>
    <row r="27" spans="2:53" s="445" customFormat="1" ht="12.95" customHeight="1">
      <c r="B27" s="301" t="s">
        <v>40</v>
      </c>
      <c r="C27" s="302" t="s">
        <v>343</v>
      </c>
      <c r="D27" s="299" t="s">
        <v>379</v>
      </c>
      <c r="E27" s="364">
        <v>0</v>
      </c>
      <c r="F27" s="304">
        <f t="shared" si="3"/>
        <v>13</v>
      </c>
      <c r="G27" s="304">
        <f t="shared" si="32"/>
        <v>1</v>
      </c>
      <c r="H27" s="310">
        <v>0</v>
      </c>
      <c r="I27" s="312">
        <f t="shared" si="4"/>
        <v>20</v>
      </c>
      <c r="J27" s="365">
        <f t="shared" si="5"/>
        <v>1</v>
      </c>
      <c r="K27" s="303">
        <v>0</v>
      </c>
      <c r="L27" s="304">
        <f t="shared" si="6"/>
        <v>9</v>
      </c>
      <c r="M27" s="304">
        <f t="shared" si="7"/>
        <v>1</v>
      </c>
      <c r="N27" s="306">
        <v>0</v>
      </c>
      <c r="O27" s="312">
        <f t="shared" si="8"/>
        <v>10</v>
      </c>
      <c r="P27" s="365">
        <f t="shared" si="9"/>
        <v>1</v>
      </c>
      <c r="Q27" s="303">
        <v>0</v>
      </c>
      <c r="R27" s="304">
        <f t="shared" si="10"/>
        <v>7</v>
      </c>
      <c r="S27" s="304">
        <f t="shared" si="11"/>
        <v>1</v>
      </c>
      <c r="T27" s="306">
        <v>0</v>
      </c>
      <c r="U27" s="312">
        <f t="shared" si="12"/>
        <v>8</v>
      </c>
      <c r="V27" s="365">
        <f t="shared" si="13"/>
        <v>1</v>
      </c>
      <c r="W27" s="303">
        <v>0</v>
      </c>
      <c r="X27" s="304">
        <f t="shared" si="14"/>
        <v>7</v>
      </c>
      <c r="Y27" s="304">
        <f t="shared" si="15"/>
        <v>1</v>
      </c>
      <c r="Z27" s="306">
        <v>0</v>
      </c>
      <c r="AA27" s="312">
        <f t="shared" si="16"/>
        <v>7</v>
      </c>
      <c r="AB27" s="365">
        <f t="shared" si="17"/>
        <v>1</v>
      </c>
      <c r="AC27" s="303">
        <v>0</v>
      </c>
      <c r="AD27" s="304">
        <f t="shared" si="18"/>
        <v>5</v>
      </c>
      <c r="AE27" s="304">
        <f t="shared" si="19"/>
        <v>1</v>
      </c>
      <c r="AF27" s="306">
        <v>0</v>
      </c>
      <c r="AG27" s="312">
        <f t="shared" si="20"/>
        <v>5</v>
      </c>
      <c r="AH27" s="365">
        <f t="shared" si="21"/>
        <v>1</v>
      </c>
      <c r="AI27" s="303">
        <v>0</v>
      </c>
      <c r="AJ27" s="304">
        <f t="shared" si="22"/>
        <v>7</v>
      </c>
      <c r="AK27" s="304">
        <f t="shared" si="23"/>
        <v>1</v>
      </c>
      <c r="AL27" s="306">
        <v>0</v>
      </c>
      <c r="AM27" s="312">
        <f t="shared" si="24"/>
        <v>7</v>
      </c>
      <c r="AN27" s="312">
        <f t="shared" si="25"/>
        <v>1</v>
      </c>
      <c r="AO27" s="303">
        <v>0</v>
      </c>
      <c r="AP27" s="304">
        <f t="shared" si="26"/>
        <v>9</v>
      </c>
      <c r="AQ27" s="304">
        <f t="shared" si="27"/>
        <v>1</v>
      </c>
      <c r="AR27" s="306">
        <v>0</v>
      </c>
      <c r="AS27" s="312">
        <f t="shared" si="28"/>
        <v>10</v>
      </c>
      <c r="AT27" s="312">
        <f t="shared" si="29"/>
        <v>1</v>
      </c>
      <c r="AU27" s="336" cm="1">
        <f t="array" aca="1" ref="AU27" ca="1">ROUNDUP(SUMPRODUCT(--($E$7:$AT$7=AU$7),$E27:$AT27,$E$3:$AT$3),3)</f>
        <v>1</v>
      </c>
      <c r="AV27" s="304">
        <v>18</v>
      </c>
      <c r="AW27" s="366" cm="1">
        <f t="array" aca="1" ref="AW27" ca="1">ROUNDUP(SUMPRODUCT(--($E$7:$AT$7=AW$7),$E27:$AT27,$E$3:$AT$3),3)</f>
        <v>1</v>
      </c>
      <c r="AX27" s="367">
        <f t="shared" ca="1" si="30"/>
        <v>20</v>
      </c>
      <c r="AY27" s="501">
        <f t="shared" ca="1" si="31"/>
        <v>-2</v>
      </c>
      <c r="AZ27" s="302" t="s">
        <v>343</v>
      </c>
      <c r="BA27" s="314" t="s">
        <v>40</v>
      </c>
    </row>
    <row r="28" spans="2:53" s="445" customFormat="1" ht="12.95" customHeight="1">
      <c r="B28" s="315" t="s">
        <v>40</v>
      </c>
      <c r="C28" s="316" t="s">
        <v>344</v>
      </c>
      <c r="D28" s="368" t="s">
        <v>380</v>
      </c>
      <c r="E28" s="369">
        <v>0</v>
      </c>
      <c r="F28" s="305">
        <f t="shared" si="3"/>
        <v>13</v>
      </c>
      <c r="G28" s="305">
        <f t="shared" si="32"/>
        <v>1</v>
      </c>
      <c r="H28" s="320">
        <v>0</v>
      </c>
      <c r="I28" s="307">
        <f t="shared" si="4"/>
        <v>20</v>
      </c>
      <c r="J28" s="370">
        <f t="shared" si="5"/>
        <v>1</v>
      </c>
      <c r="K28" s="317">
        <v>0</v>
      </c>
      <c r="L28" s="305">
        <f t="shared" si="6"/>
        <v>9</v>
      </c>
      <c r="M28" s="305">
        <f t="shared" si="7"/>
        <v>1</v>
      </c>
      <c r="N28" s="318">
        <v>0</v>
      </c>
      <c r="O28" s="307">
        <f t="shared" si="8"/>
        <v>10</v>
      </c>
      <c r="P28" s="370">
        <f t="shared" si="9"/>
        <v>1</v>
      </c>
      <c r="Q28" s="317">
        <v>0</v>
      </c>
      <c r="R28" s="305">
        <f t="shared" si="10"/>
        <v>7</v>
      </c>
      <c r="S28" s="305">
        <f t="shared" si="11"/>
        <v>1</v>
      </c>
      <c r="T28" s="318">
        <v>0</v>
      </c>
      <c r="U28" s="307">
        <f t="shared" si="12"/>
        <v>8</v>
      </c>
      <c r="V28" s="370">
        <f t="shared" si="13"/>
        <v>1</v>
      </c>
      <c r="W28" s="317">
        <v>0</v>
      </c>
      <c r="X28" s="305">
        <f t="shared" si="14"/>
        <v>7</v>
      </c>
      <c r="Y28" s="305">
        <f t="shared" si="15"/>
        <v>1</v>
      </c>
      <c r="Z28" s="318">
        <v>0</v>
      </c>
      <c r="AA28" s="307">
        <f t="shared" si="16"/>
        <v>7</v>
      </c>
      <c r="AB28" s="370">
        <f t="shared" si="17"/>
        <v>1</v>
      </c>
      <c r="AC28" s="317">
        <v>0</v>
      </c>
      <c r="AD28" s="305">
        <f t="shared" si="18"/>
        <v>5</v>
      </c>
      <c r="AE28" s="305">
        <f t="shared" si="19"/>
        <v>1</v>
      </c>
      <c r="AF28" s="318">
        <v>0</v>
      </c>
      <c r="AG28" s="307">
        <f t="shared" si="20"/>
        <v>5</v>
      </c>
      <c r="AH28" s="370">
        <f t="shared" si="21"/>
        <v>1</v>
      </c>
      <c r="AI28" s="317">
        <v>0</v>
      </c>
      <c r="AJ28" s="305">
        <f t="shared" si="22"/>
        <v>7</v>
      </c>
      <c r="AK28" s="305">
        <f t="shared" si="23"/>
        <v>1</v>
      </c>
      <c r="AL28" s="318">
        <v>0</v>
      </c>
      <c r="AM28" s="307">
        <f t="shared" si="24"/>
        <v>7</v>
      </c>
      <c r="AN28" s="307">
        <f t="shared" si="25"/>
        <v>1</v>
      </c>
      <c r="AO28" s="317">
        <v>0</v>
      </c>
      <c r="AP28" s="305">
        <f t="shared" si="26"/>
        <v>9</v>
      </c>
      <c r="AQ28" s="305">
        <f t="shared" si="27"/>
        <v>1</v>
      </c>
      <c r="AR28" s="318">
        <v>0</v>
      </c>
      <c r="AS28" s="307">
        <f t="shared" si="28"/>
        <v>10</v>
      </c>
      <c r="AT28" s="307">
        <f t="shared" si="29"/>
        <v>1</v>
      </c>
      <c r="AU28" s="311" cm="1">
        <f t="array" aca="1" ref="AU28" ca="1">ROUNDUP(SUMPRODUCT(--($E$7:$AT$7=AU$7),$E28:$AT28,$E$3:$AT$3),3)</f>
        <v>1</v>
      </c>
      <c r="AV28" s="305">
        <v>18</v>
      </c>
      <c r="AW28" s="371" cm="1">
        <f t="array" aca="1" ref="AW28" ca="1">ROUNDUP(SUMPRODUCT(--($E$7:$AT$7=AW$7),$E28:$AT28,$E$3:$AT$3),3)</f>
        <v>1</v>
      </c>
      <c r="AX28" s="372">
        <f t="shared" ca="1" si="30"/>
        <v>20</v>
      </c>
      <c r="AY28" s="501">
        <f t="shared" ca="1" si="31"/>
        <v>-2</v>
      </c>
      <c r="AZ28" s="316" t="s">
        <v>344</v>
      </c>
      <c r="BA28" s="322" t="s">
        <v>40</v>
      </c>
    </row>
    <row r="29" spans="2:53" s="445" customFormat="1" ht="12.95" customHeight="1">
      <c r="B29" s="323" t="s">
        <v>40</v>
      </c>
      <c r="C29" s="324" t="s">
        <v>32</v>
      </c>
      <c r="D29" s="373" t="s">
        <v>381</v>
      </c>
      <c r="E29" s="374">
        <v>0</v>
      </c>
      <c r="F29" s="326">
        <f t="shared" si="3"/>
        <v>13</v>
      </c>
      <c r="G29" s="326">
        <f t="shared" si="32"/>
        <v>1</v>
      </c>
      <c r="H29" s="330">
        <v>0</v>
      </c>
      <c r="I29" s="328">
        <f t="shared" si="4"/>
        <v>20</v>
      </c>
      <c r="J29" s="346">
        <f t="shared" si="5"/>
        <v>1</v>
      </c>
      <c r="K29" s="325">
        <v>0</v>
      </c>
      <c r="L29" s="326">
        <f t="shared" si="6"/>
        <v>9</v>
      </c>
      <c r="M29" s="326">
        <f t="shared" si="7"/>
        <v>1</v>
      </c>
      <c r="N29" s="327">
        <v>0</v>
      </c>
      <c r="O29" s="328">
        <f t="shared" si="8"/>
        <v>10</v>
      </c>
      <c r="P29" s="346">
        <f t="shared" si="9"/>
        <v>1</v>
      </c>
      <c r="Q29" s="325">
        <v>0</v>
      </c>
      <c r="R29" s="326">
        <f t="shared" si="10"/>
        <v>7</v>
      </c>
      <c r="S29" s="326">
        <f t="shared" si="11"/>
        <v>1</v>
      </c>
      <c r="T29" s="327">
        <v>0</v>
      </c>
      <c r="U29" s="328">
        <f t="shared" si="12"/>
        <v>8</v>
      </c>
      <c r="V29" s="346">
        <f t="shared" si="13"/>
        <v>1</v>
      </c>
      <c r="W29" s="325">
        <v>0</v>
      </c>
      <c r="X29" s="326">
        <f t="shared" si="14"/>
        <v>7</v>
      </c>
      <c r="Y29" s="326">
        <f t="shared" si="15"/>
        <v>1</v>
      </c>
      <c r="Z29" s="327">
        <v>0</v>
      </c>
      <c r="AA29" s="328">
        <f t="shared" si="16"/>
        <v>7</v>
      </c>
      <c r="AB29" s="346">
        <f t="shared" si="17"/>
        <v>1</v>
      </c>
      <c r="AC29" s="325">
        <v>0</v>
      </c>
      <c r="AD29" s="326">
        <f t="shared" si="18"/>
        <v>5</v>
      </c>
      <c r="AE29" s="326">
        <f t="shared" si="19"/>
        <v>1</v>
      </c>
      <c r="AF29" s="327">
        <v>0</v>
      </c>
      <c r="AG29" s="328">
        <f t="shared" si="20"/>
        <v>5</v>
      </c>
      <c r="AH29" s="346">
        <f t="shared" si="21"/>
        <v>1</v>
      </c>
      <c r="AI29" s="325">
        <v>0</v>
      </c>
      <c r="AJ29" s="326">
        <f t="shared" si="22"/>
        <v>7</v>
      </c>
      <c r="AK29" s="326">
        <f t="shared" si="23"/>
        <v>1</v>
      </c>
      <c r="AL29" s="327">
        <v>0</v>
      </c>
      <c r="AM29" s="328">
        <f t="shared" si="24"/>
        <v>7</v>
      </c>
      <c r="AN29" s="328">
        <f t="shared" si="25"/>
        <v>1</v>
      </c>
      <c r="AO29" s="325">
        <v>0</v>
      </c>
      <c r="AP29" s="326">
        <f t="shared" si="26"/>
        <v>9</v>
      </c>
      <c r="AQ29" s="326">
        <f t="shared" si="27"/>
        <v>1</v>
      </c>
      <c r="AR29" s="327">
        <v>0</v>
      </c>
      <c r="AS29" s="328">
        <f t="shared" si="28"/>
        <v>10</v>
      </c>
      <c r="AT29" s="328">
        <f t="shared" si="29"/>
        <v>1</v>
      </c>
      <c r="AU29" s="332" cm="1">
        <f t="array" aca="1" ref="AU29" ca="1">ROUNDUP(SUMPRODUCT(--($E$7:$AT$7=AU$7),$E29:$AT29,$E$3:$AT$3),3)</f>
        <v>1</v>
      </c>
      <c r="AV29" s="326">
        <v>18</v>
      </c>
      <c r="AW29" s="375" cm="1">
        <f t="array" aca="1" ref="AW29" ca="1">ROUNDUP(SUMPRODUCT(--($E$7:$AT$7=AW$7),$E29:$AT29,$E$3:$AT$3),3)</f>
        <v>1</v>
      </c>
      <c r="AX29" s="376">
        <f t="shared" ca="1" si="30"/>
        <v>20</v>
      </c>
      <c r="AY29" s="501">
        <f t="shared" ca="1" si="31"/>
        <v>-2</v>
      </c>
      <c r="AZ29" s="324" t="s">
        <v>32</v>
      </c>
      <c r="BA29" s="334" t="s">
        <v>40</v>
      </c>
    </row>
    <row r="30" spans="2:53" s="445" customFormat="1" ht="12.95" customHeight="1">
      <c r="B30" s="337" t="s">
        <v>56</v>
      </c>
      <c r="C30" s="302" t="s">
        <v>29</v>
      </c>
      <c r="D30" s="299" t="s">
        <v>382</v>
      </c>
      <c r="E30" s="364">
        <v>0.2</v>
      </c>
      <c r="F30" s="304">
        <f t="shared" si="3"/>
        <v>11</v>
      </c>
      <c r="G30" s="304">
        <f t="shared" si="32"/>
        <v>2</v>
      </c>
      <c r="H30" s="310">
        <v>0.2</v>
      </c>
      <c r="I30" s="312">
        <f t="shared" si="4"/>
        <v>15</v>
      </c>
      <c r="J30" s="365">
        <f t="shared" si="5"/>
        <v>2</v>
      </c>
      <c r="K30" s="303">
        <v>6500</v>
      </c>
      <c r="L30" s="304">
        <f t="shared" si="6"/>
        <v>7</v>
      </c>
      <c r="M30" s="304">
        <f t="shared" si="7"/>
        <v>2</v>
      </c>
      <c r="N30" s="306">
        <v>6700</v>
      </c>
      <c r="O30" s="312">
        <f t="shared" si="8"/>
        <v>8</v>
      </c>
      <c r="P30" s="365">
        <f t="shared" si="9"/>
        <v>2</v>
      </c>
      <c r="Q30" s="303">
        <v>0</v>
      </c>
      <c r="R30" s="304">
        <f t="shared" si="10"/>
        <v>7</v>
      </c>
      <c r="S30" s="304">
        <f t="shared" si="11"/>
        <v>1</v>
      </c>
      <c r="T30" s="306">
        <v>2000</v>
      </c>
      <c r="U30" s="312">
        <f t="shared" si="12"/>
        <v>6</v>
      </c>
      <c r="V30" s="365">
        <f t="shared" si="13"/>
        <v>2</v>
      </c>
      <c r="W30" s="303">
        <v>0</v>
      </c>
      <c r="X30" s="304">
        <f t="shared" si="14"/>
        <v>7</v>
      </c>
      <c r="Y30" s="304">
        <f t="shared" si="15"/>
        <v>1</v>
      </c>
      <c r="Z30" s="306">
        <v>0</v>
      </c>
      <c r="AA30" s="312">
        <f t="shared" si="16"/>
        <v>7</v>
      </c>
      <c r="AB30" s="365">
        <f t="shared" si="17"/>
        <v>1</v>
      </c>
      <c r="AC30" s="303">
        <v>0</v>
      </c>
      <c r="AD30" s="304">
        <f t="shared" si="18"/>
        <v>5</v>
      </c>
      <c r="AE30" s="304">
        <f t="shared" si="19"/>
        <v>1</v>
      </c>
      <c r="AF30" s="306">
        <v>0</v>
      </c>
      <c r="AG30" s="312">
        <f t="shared" si="20"/>
        <v>5</v>
      </c>
      <c r="AH30" s="365">
        <f t="shared" si="21"/>
        <v>1</v>
      </c>
      <c r="AI30" s="303">
        <v>0</v>
      </c>
      <c r="AJ30" s="304">
        <f t="shared" si="22"/>
        <v>7</v>
      </c>
      <c r="AK30" s="304">
        <f t="shared" si="23"/>
        <v>1</v>
      </c>
      <c r="AL30" s="306">
        <v>0</v>
      </c>
      <c r="AM30" s="312">
        <f t="shared" si="24"/>
        <v>7</v>
      </c>
      <c r="AN30" s="312">
        <f t="shared" si="25"/>
        <v>1</v>
      </c>
      <c r="AO30" s="303">
        <v>12</v>
      </c>
      <c r="AP30" s="304">
        <f t="shared" si="26"/>
        <v>5</v>
      </c>
      <c r="AQ30" s="304">
        <f t="shared" si="27"/>
        <v>2</v>
      </c>
      <c r="AR30" s="306">
        <v>61507</v>
      </c>
      <c r="AS30" s="312">
        <f t="shared" si="28"/>
        <v>3</v>
      </c>
      <c r="AT30" s="312">
        <f t="shared" si="29"/>
        <v>4</v>
      </c>
      <c r="AU30" s="336" cm="1">
        <f t="array" aca="1" ref="AU30" ca="1">ROUNDUP(SUMPRODUCT(--($E$7:$AT$7=AU$7),$E30:$AT30,$E$3:$AT$3),3)</f>
        <v>1.4289999999999998</v>
      </c>
      <c r="AV30" s="304">
        <v>8</v>
      </c>
      <c r="AW30" s="366" cm="1">
        <f t="array" aca="1" ref="AW30" ca="1">ROUNDUP(SUMPRODUCT(--($E$7:$AT$7=AW$7),$E30:$AT30,$E$3:$AT$3),3)</f>
        <v>1.8579999999999999</v>
      </c>
      <c r="AX30" s="367">
        <f t="shared" ca="1" si="30"/>
        <v>6</v>
      </c>
      <c r="AY30" s="501">
        <f t="shared" ca="1" si="31"/>
        <v>2</v>
      </c>
      <c r="AZ30" s="302" t="s">
        <v>29</v>
      </c>
      <c r="BA30" s="338" t="s">
        <v>56</v>
      </c>
    </row>
    <row r="31" spans="2:53" s="445" customFormat="1" ht="12.95" customHeight="1">
      <c r="B31" s="339" t="s">
        <v>56</v>
      </c>
      <c r="C31" s="316" t="s">
        <v>12</v>
      </c>
      <c r="D31" s="368" t="s">
        <v>383</v>
      </c>
      <c r="E31" s="369">
        <v>0</v>
      </c>
      <c r="F31" s="305">
        <f t="shared" si="3"/>
        <v>13</v>
      </c>
      <c r="G31" s="305">
        <f t="shared" si="32"/>
        <v>1</v>
      </c>
      <c r="H31" s="320">
        <v>8.75</v>
      </c>
      <c r="I31" s="307">
        <f t="shared" si="4"/>
        <v>9</v>
      </c>
      <c r="J31" s="370">
        <f t="shared" si="5"/>
        <v>3</v>
      </c>
      <c r="K31" s="317">
        <v>0</v>
      </c>
      <c r="L31" s="305">
        <f t="shared" si="6"/>
        <v>9</v>
      </c>
      <c r="M31" s="305">
        <f t="shared" si="7"/>
        <v>1</v>
      </c>
      <c r="N31" s="318">
        <v>0</v>
      </c>
      <c r="O31" s="307">
        <f t="shared" si="8"/>
        <v>10</v>
      </c>
      <c r="P31" s="370">
        <f t="shared" si="9"/>
        <v>1</v>
      </c>
      <c r="Q31" s="317">
        <v>0</v>
      </c>
      <c r="R31" s="305">
        <f t="shared" si="10"/>
        <v>7</v>
      </c>
      <c r="S31" s="305">
        <f t="shared" si="11"/>
        <v>1</v>
      </c>
      <c r="T31" s="318">
        <v>0</v>
      </c>
      <c r="U31" s="307">
        <f t="shared" si="12"/>
        <v>8</v>
      </c>
      <c r="V31" s="370">
        <f t="shared" si="13"/>
        <v>1</v>
      </c>
      <c r="W31" s="317">
        <v>0</v>
      </c>
      <c r="X31" s="305">
        <f t="shared" si="14"/>
        <v>7</v>
      </c>
      <c r="Y31" s="305">
        <f t="shared" si="15"/>
        <v>1</v>
      </c>
      <c r="Z31" s="318">
        <v>0</v>
      </c>
      <c r="AA31" s="307">
        <f t="shared" si="16"/>
        <v>7</v>
      </c>
      <c r="AB31" s="370">
        <f t="shared" si="17"/>
        <v>1</v>
      </c>
      <c r="AC31" s="317">
        <v>0</v>
      </c>
      <c r="AD31" s="305">
        <f t="shared" si="18"/>
        <v>5</v>
      </c>
      <c r="AE31" s="305">
        <f t="shared" si="19"/>
        <v>1</v>
      </c>
      <c r="AF31" s="318">
        <v>0</v>
      </c>
      <c r="AG31" s="307">
        <f t="shared" si="20"/>
        <v>5</v>
      </c>
      <c r="AH31" s="370">
        <f t="shared" si="21"/>
        <v>1</v>
      </c>
      <c r="AI31" s="317">
        <v>0</v>
      </c>
      <c r="AJ31" s="305">
        <f t="shared" si="22"/>
        <v>7</v>
      </c>
      <c r="AK31" s="305">
        <f t="shared" si="23"/>
        <v>1</v>
      </c>
      <c r="AL31" s="318">
        <v>0</v>
      </c>
      <c r="AM31" s="307">
        <f t="shared" si="24"/>
        <v>7</v>
      </c>
      <c r="AN31" s="307">
        <f t="shared" si="25"/>
        <v>1</v>
      </c>
      <c r="AO31" s="317">
        <v>0</v>
      </c>
      <c r="AP31" s="305">
        <f t="shared" si="26"/>
        <v>9</v>
      </c>
      <c r="AQ31" s="305">
        <f t="shared" si="27"/>
        <v>1</v>
      </c>
      <c r="AR31" s="318">
        <v>0</v>
      </c>
      <c r="AS31" s="307">
        <f t="shared" si="28"/>
        <v>10</v>
      </c>
      <c r="AT31" s="307">
        <f t="shared" si="29"/>
        <v>1</v>
      </c>
      <c r="AU31" s="311" cm="1">
        <f t="array" aca="1" ref="AU31" ca="1">ROUNDUP(SUMPRODUCT(--($E$7:$AT$7=AU$7),$E31:$AT31,$E$3:$AT$3),3)</f>
        <v>1</v>
      </c>
      <c r="AV31" s="305">
        <v>18</v>
      </c>
      <c r="AW31" s="371" cm="1">
        <f t="array" aca="1" ref="AW31" ca="1">ROUNDUP(SUMPRODUCT(--($E$7:$AT$7=AW$7),$E31:$AT31,$E$3:$AT$3),3)</f>
        <v>1.2859999999999998</v>
      </c>
      <c r="AX31" s="372">
        <f t="shared" ca="1" si="30"/>
        <v>15</v>
      </c>
      <c r="AY31" s="501">
        <f t="shared" ca="1" si="31"/>
        <v>3</v>
      </c>
      <c r="AZ31" s="316" t="s">
        <v>12</v>
      </c>
      <c r="BA31" s="340" t="s">
        <v>56</v>
      </c>
    </row>
    <row r="32" spans="2:53" s="445" customFormat="1" ht="12.95" customHeight="1">
      <c r="B32" s="341" t="s">
        <v>56</v>
      </c>
      <c r="C32" s="324" t="s">
        <v>345</v>
      </c>
      <c r="D32" s="373" t="s">
        <v>345</v>
      </c>
      <c r="E32" s="374">
        <v>64.400000000000006</v>
      </c>
      <c r="F32" s="326">
        <f t="shared" si="3"/>
        <v>3</v>
      </c>
      <c r="G32" s="326">
        <f t="shared" si="32"/>
        <v>4</v>
      </c>
      <c r="H32" s="330">
        <v>92.334999999999994</v>
      </c>
      <c r="I32" s="328">
        <f t="shared" si="4"/>
        <v>2</v>
      </c>
      <c r="J32" s="346">
        <f t="shared" si="5"/>
        <v>5</v>
      </c>
      <c r="K32" s="325">
        <v>7017</v>
      </c>
      <c r="L32" s="326">
        <f t="shared" si="6"/>
        <v>6</v>
      </c>
      <c r="M32" s="326">
        <f t="shared" si="7"/>
        <v>3</v>
      </c>
      <c r="N32" s="327">
        <v>7017</v>
      </c>
      <c r="O32" s="328">
        <f t="shared" si="8"/>
        <v>7</v>
      </c>
      <c r="P32" s="346">
        <f t="shared" si="9"/>
        <v>3</v>
      </c>
      <c r="Q32" s="325">
        <v>4120</v>
      </c>
      <c r="R32" s="326">
        <f t="shared" si="10"/>
        <v>5</v>
      </c>
      <c r="S32" s="326">
        <f t="shared" si="11"/>
        <v>2</v>
      </c>
      <c r="T32" s="327">
        <v>5120</v>
      </c>
      <c r="U32" s="328">
        <f t="shared" si="12"/>
        <v>4</v>
      </c>
      <c r="V32" s="346">
        <f t="shared" si="13"/>
        <v>3</v>
      </c>
      <c r="W32" s="325">
        <v>52000</v>
      </c>
      <c r="X32" s="326">
        <f t="shared" si="14"/>
        <v>3</v>
      </c>
      <c r="Y32" s="326">
        <f t="shared" si="15"/>
        <v>3</v>
      </c>
      <c r="Z32" s="327">
        <v>72000</v>
      </c>
      <c r="AA32" s="328">
        <f t="shared" si="16"/>
        <v>2</v>
      </c>
      <c r="AB32" s="346">
        <f t="shared" si="17"/>
        <v>4</v>
      </c>
      <c r="AC32" s="325">
        <v>1500</v>
      </c>
      <c r="AD32" s="326">
        <f t="shared" si="18"/>
        <v>4</v>
      </c>
      <c r="AE32" s="326">
        <f t="shared" si="19"/>
        <v>2</v>
      </c>
      <c r="AF32" s="327">
        <v>1500</v>
      </c>
      <c r="AG32" s="328">
        <f t="shared" si="20"/>
        <v>4</v>
      </c>
      <c r="AH32" s="346">
        <f t="shared" si="21"/>
        <v>2</v>
      </c>
      <c r="AI32" s="325">
        <v>260</v>
      </c>
      <c r="AJ32" s="326">
        <f t="shared" si="22"/>
        <v>5</v>
      </c>
      <c r="AK32" s="326">
        <f t="shared" si="23"/>
        <v>2</v>
      </c>
      <c r="AL32" s="327">
        <v>260</v>
      </c>
      <c r="AM32" s="328">
        <f t="shared" si="24"/>
        <v>5</v>
      </c>
      <c r="AN32" s="328">
        <f t="shared" si="25"/>
        <v>2</v>
      </c>
      <c r="AO32" s="325">
        <v>46</v>
      </c>
      <c r="AP32" s="326">
        <f t="shared" si="26"/>
        <v>3</v>
      </c>
      <c r="AQ32" s="326">
        <f t="shared" si="27"/>
        <v>4</v>
      </c>
      <c r="AR32" s="327">
        <v>95500</v>
      </c>
      <c r="AS32" s="328">
        <f t="shared" si="28"/>
        <v>2</v>
      </c>
      <c r="AT32" s="328">
        <f t="shared" si="29"/>
        <v>5</v>
      </c>
      <c r="AU32" s="332" cm="1">
        <f t="array" aca="1" ref="AU32" ca="1">ROUNDUP(SUMPRODUCT(--($E$7:$AT$7=AU$7),$E32:$AT32,$E$3:$AT$3),3)</f>
        <v>2.8580000000000001</v>
      </c>
      <c r="AV32" s="326">
        <v>4</v>
      </c>
      <c r="AW32" s="375" cm="1">
        <f t="array" aca="1" ref="AW32" ca="1">ROUNDUP(SUMPRODUCT(--($E$7:$AT$7=AW$7),$E32:$AT32,$E$3:$AT$3),3)</f>
        <v>3.4289999999999998</v>
      </c>
      <c r="AX32" s="376">
        <f t="shared" ca="1" si="30"/>
        <v>3</v>
      </c>
      <c r="AY32" s="501">
        <f t="shared" ca="1" si="31"/>
        <v>1</v>
      </c>
      <c r="AZ32" s="324" t="s">
        <v>345</v>
      </c>
      <c r="BA32" s="342" t="s">
        <v>56</v>
      </c>
    </row>
    <row r="33" spans="2:53" s="445" customFormat="1" ht="12.95" customHeight="1">
      <c r="B33" s="301" t="s">
        <v>86</v>
      </c>
      <c r="C33" s="302" t="s">
        <v>59</v>
      </c>
      <c r="D33" s="299" t="s">
        <v>384</v>
      </c>
      <c r="E33" s="364">
        <v>0</v>
      </c>
      <c r="F33" s="304">
        <f t="shared" si="3"/>
        <v>13</v>
      </c>
      <c r="G33" s="304">
        <f t="shared" si="32"/>
        <v>1</v>
      </c>
      <c r="H33" s="310">
        <v>0</v>
      </c>
      <c r="I33" s="312">
        <f t="shared" si="4"/>
        <v>20</v>
      </c>
      <c r="J33" s="365">
        <f t="shared" si="5"/>
        <v>1</v>
      </c>
      <c r="K33" s="303">
        <v>0</v>
      </c>
      <c r="L33" s="304">
        <f t="shared" si="6"/>
        <v>9</v>
      </c>
      <c r="M33" s="304">
        <f t="shared" si="7"/>
        <v>1</v>
      </c>
      <c r="N33" s="306">
        <v>0</v>
      </c>
      <c r="O33" s="312">
        <f t="shared" si="8"/>
        <v>10</v>
      </c>
      <c r="P33" s="365">
        <f t="shared" si="9"/>
        <v>1</v>
      </c>
      <c r="Q33" s="303">
        <v>0</v>
      </c>
      <c r="R33" s="304">
        <f t="shared" si="10"/>
        <v>7</v>
      </c>
      <c r="S33" s="304">
        <f t="shared" si="11"/>
        <v>1</v>
      </c>
      <c r="T33" s="306">
        <v>0</v>
      </c>
      <c r="U33" s="312">
        <f t="shared" si="12"/>
        <v>8</v>
      </c>
      <c r="V33" s="365">
        <f t="shared" si="13"/>
        <v>1</v>
      </c>
      <c r="W33" s="303">
        <v>0</v>
      </c>
      <c r="X33" s="304">
        <f t="shared" si="14"/>
        <v>7</v>
      </c>
      <c r="Y33" s="304">
        <f t="shared" si="15"/>
        <v>1</v>
      </c>
      <c r="Z33" s="306">
        <v>0</v>
      </c>
      <c r="AA33" s="312">
        <f t="shared" si="16"/>
        <v>7</v>
      </c>
      <c r="AB33" s="365">
        <f t="shared" si="17"/>
        <v>1</v>
      </c>
      <c r="AC33" s="303">
        <v>0</v>
      </c>
      <c r="AD33" s="304">
        <f t="shared" si="18"/>
        <v>5</v>
      </c>
      <c r="AE33" s="304">
        <f t="shared" si="19"/>
        <v>1</v>
      </c>
      <c r="AF33" s="306">
        <v>0</v>
      </c>
      <c r="AG33" s="312">
        <f t="shared" si="20"/>
        <v>5</v>
      </c>
      <c r="AH33" s="365">
        <f t="shared" si="21"/>
        <v>1</v>
      </c>
      <c r="AI33" s="303">
        <v>0</v>
      </c>
      <c r="AJ33" s="304">
        <f t="shared" si="22"/>
        <v>7</v>
      </c>
      <c r="AK33" s="304">
        <f t="shared" si="23"/>
        <v>1</v>
      </c>
      <c r="AL33" s="306">
        <v>0</v>
      </c>
      <c r="AM33" s="312">
        <f t="shared" si="24"/>
        <v>7</v>
      </c>
      <c r="AN33" s="312">
        <f t="shared" si="25"/>
        <v>1</v>
      </c>
      <c r="AO33" s="303">
        <v>0</v>
      </c>
      <c r="AP33" s="304">
        <f t="shared" si="26"/>
        <v>9</v>
      </c>
      <c r="AQ33" s="304">
        <f t="shared" si="27"/>
        <v>1</v>
      </c>
      <c r="AR33" s="306">
        <v>0</v>
      </c>
      <c r="AS33" s="312">
        <f t="shared" si="28"/>
        <v>10</v>
      </c>
      <c r="AT33" s="312">
        <f t="shared" si="29"/>
        <v>1</v>
      </c>
      <c r="AU33" s="336" cm="1">
        <f t="array" aca="1" ref="AU33" ca="1">ROUNDUP(SUMPRODUCT(--($E$7:$AT$7=AU$7),$E33:$AT33,$E$3:$AT$3),3)</f>
        <v>1</v>
      </c>
      <c r="AV33" s="304">
        <v>18</v>
      </c>
      <c r="AW33" s="366" cm="1">
        <f t="array" aca="1" ref="AW33" ca="1">ROUNDUP(SUMPRODUCT(--($E$7:$AT$7=AW$7),$E33:$AT33,$E$3:$AT$3),3)</f>
        <v>1</v>
      </c>
      <c r="AX33" s="367">
        <f t="shared" ca="1" si="30"/>
        <v>20</v>
      </c>
      <c r="AY33" s="501">
        <f t="shared" ca="1" si="31"/>
        <v>-2</v>
      </c>
      <c r="AZ33" s="302" t="s">
        <v>59</v>
      </c>
      <c r="BA33" s="314" t="s">
        <v>86</v>
      </c>
    </row>
    <row r="34" spans="2:53" s="445" customFormat="1" ht="12.95" customHeight="1">
      <c r="B34" s="315" t="s">
        <v>86</v>
      </c>
      <c r="C34" s="316" t="s">
        <v>346</v>
      </c>
      <c r="D34" s="368" t="s">
        <v>385</v>
      </c>
      <c r="E34" s="369">
        <v>0</v>
      </c>
      <c r="F34" s="305">
        <f t="shared" si="3"/>
        <v>13</v>
      </c>
      <c r="G34" s="305">
        <f t="shared" si="32"/>
        <v>1</v>
      </c>
      <c r="H34" s="320">
        <v>0</v>
      </c>
      <c r="I34" s="307">
        <f t="shared" si="4"/>
        <v>20</v>
      </c>
      <c r="J34" s="370">
        <f t="shared" si="5"/>
        <v>1</v>
      </c>
      <c r="K34" s="317">
        <v>0</v>
      </c>
      <c r="L34" s="305">
        <f t="shared" si="6"/>
        <v>9</v>
      </c>
      <c r="M34" s="305">
        <f t="shared" si="7"/>
        <v>1</v>
      </c>
      <c r="N34" s="318">
        <v>0</v>
      </c>
      <c r="O34" s="307">
        <f t="shared" si="8"/>
        <v>10</v>
      </c>
      <c r="P34" s="370">
        <f t="shared" si="9"/>
        <v>1</v>
      </c>
      <c r="Q34" s="317">
        <v>0</v>
      </c>
      <c r="R34" s="305">
        <f t="shared" si="10"/>
        <v>7</v>
      </c>
      <c r="S34" s="305">
        <f t="shared" si="11"/>
        <v>1</v>
      </c>
      <c r="T34" s="318">
        <v>0</v>
      </c>
      <c r="U34" s="307">
        <f t="shared" si="12"/>
        <v>8</v>
      </c>
      <c r="V34" s="370">
        <f t="shared" si="13"/>
        <v>1</v>
      </c>
      <c r="W34" s="317">
        <v>0</v>
      </c>
      <c r="X34" s="305">
        <f t="shared" si="14"/>
        <v>7</v>
      </c>
      <c r="Y34" s="305">
        <f t="shared" si="15"/>
        <v>1</v>
      </c>
      <c r="Z34" s="318">
        <v>0</v>
      </c>
      <c r="AA34" s="307">
        <f t="shared" si="16"/>
        <v>7</v>
      </c>
      <c r="AB34" s="370">
        <f t="shared" si="17"/>
        <v>1</v>
      </c>
      <c r="AC34" s="317">
        <v>0</v>
      </c>
      <c r="AD34" s="305">
        <f t="shared" si="18"/>
        <v>5</v>
      </c>
      <c r="AE34" s="305">
        <f t="shared" si="19"/>
        <v>1</v>
      </c>
      <c r="AF34" s="318">
        <v>0</v>
      </c>
      <c r="AG34" s="307">
        <f t="shared" si="20"/>
        <v>5</v>
      </c>
      <c r="AH34" s="370">
        <f t="shared" si="21"/>
        <v>1</v>
      </c>
      <c r="AI34" s="317">
        <v>0</v>
      </c>
      <c r="AJ34" s="305">
        <f t="shared" si="22"/>
        <v>7</v>
      </c>
      <c r="AK34" s="305">
        <f t="shared" si="23"/>
        <v>1</v>
      </c>
      <c r="AL34" s="318">
        <v>0</v>
      </c>
      <c r="AM34" s="307">
        <f t="shared" si="24"/>
        <v>7</v>
      </c>
      <c r="AN34" s="307">
        <f t="shared" si="25"/>
        <v>1</v>
      </c>
      <c r="AO34" s="317">
        <v>0</v>
      </c>
      <c r="AP34" s="305">
        <f t="shared" si="26"/>
        <v>9</v>
      </c>
      <c r="AQ34" s="305">
        <f t="shared" si="27"/>
        <v>1</v>
      </c>
      <c r="AR34" s="318">
        <v>0</v>
      </c>
      <c r="AS34" s="307">
        <f t="shared" si="28"/>
        <v>10</v>
      </c>
      <c r="AT34" s="307">
        <f t="shared" si="29"/>
        <v>1</v>
      </c>
      <c r="AU34" s="311" cm="1">
        <f t="array" aca="1" ref="AU34" ca="1">ROUNDUP(SUMPRODUCT(--($E$7:$AT$7=AU$7),$E34:$AT34,$E$3:$AT$3),3)</f>
        <v>1</v>
      </c>
      <c r="AV34" s="305">
        <v>18</v>
      </c>
      <c r="AW34" s="371" cm="1">
        <f t="array" aca="1" ref="AW34" ca="1">ROUNDUP(SUMPRODUCT(--($E$7:$AT$7=AW$7),$E34:$AT34,$E$3:$AT$3),3)</f>
        <v>1</v>
      </c>
      <c r="AX34" s="372">
        <f t="shared" ca="1" si="30"/>
        <v>20</v>
      </c>
      <c r="AY34" s="501">
        <f t="shared" ca="1" si="31"/>
        <v>-2</v>
      </c>
      <c r="AZ34" s="316" t="s">
        <v>346</v>
      </c>
      <c r="BA34" s="322" t="s">
        <v>86</v>
      </c>
    </row>
    <row r="35" spans="2:53" s="445" customFormat="1" ht="12.95" customHeight="1">
      <c r="B35" s="315" t="s">
        <v>86</v>
      </c>
      <c r="C35" s="316" t="s">
        <v>11</v>
      </c>
      <c r="D35" s="368" t="s">
        <v>386</v>
      </c>
      <c r="E35" s="369">
        <v>0</v>
      </c>
      <c r="F35" s="305">
        <f t="shared" si="3"/>
        <v>13</v>
      </c>
      <c r="G35" s="305">
        <f t="shared" si="32"/>
        <v>1</v>
      </c>
      <c r="H35" s="320">
        <v>0.05</v>
      </c>
      <c r="I35" s="307">
        <f t="shared" si="4"/>
        <v>18</v>
      </c>
      <c r="J35" s="370">
        <f t="shared" si="5"/>
        <v>1</v>
      </c>
      <c r="K35" s="317">
        <v>0</v>
      </c>
      <c r="L35" s="305">
        <f t="shared" si="6"/>
        <v>9</v>
      </c>
      <c r="M35" s="305">
        <f t="shared" si="7"/>
        <v>1</v>
      </c>
      <c r="N35" s="318">
        <v>0</v>
      </c>
      <c r="O35" s="307">
        <f t="shared" si="8"/>
        <v>10</v>
      </c>
      <c r="P35" s="370">
        <f t="shared" si="9"/>
        <v>1</v>
      </c>
      <c r="Q35" s="317">
        <v>0</v>
      </c>
      <c r="R35" s="305">
        <f t="shared" si="10"/>
        <v>7</v>
      </c>
      <c r="S35" s="305">
        <f t="shared" si="11"/>
        <v>1</v>
      </c>
      <c r="T35" s="318">
        <v>0</v>
      </c>
      <c r="U35" s="307">
        <f t="shared" si="12"/>
        <v>8</v>
      </c>
      <c r="V35" s="370">
        <f t="shared" si="13"/>
        <v>1</v>
      </c>
      <c r="W35" s="317">
        <v>0</v>
      </c>
      <c r="X35" s="305">
        <f t="shared" si="14"/>
        <v>7</v>
      </c>
      <c r="Y35" s="305">
        <f t="shared" si="15"/>
        <v>1</v>
      </c>
      <c r="Z35" s="318">
        <v>0</v>
      </c>
      <c r="AA35" s="307">
        <f t="shared" si="16"/>
        <v>7</v>
      </c>
      <c r="AB35" s="370">
        <f t="shared" si="17"/>
        <v>1</v>
      </c>
      <c r="AC35" s="317">
        <v>0</v>
      </c>
      <c r="AD35" s="305">
        <f t="shared" si="18"/>
        <v>5</v>
      </c>
      <c r="AE35" s="305">
        <f t="shared" si="19"/>
        <v>1</v>
      </c>
      <c r="AF35" s="318">
        <v>0</v>
      </c>
      <c r="AG35" s="307">
        <f t="shared" si="20"/>
        <v>5</v>
      </c>
      <c r="AH35" s="370">
        <f t="shared" si="21"/>
        <v>1</v>
      </c>
      <c r="AI35" s="317">
        <v>0</v>
      </c>
      <c r="AJ35" s="305">
        <f t="shared" si="22"/>
        <v>7</v>
      </c>
      <c r="AK35" s="305">
        <f t="shared" si="23"/>
        <v>1</v>
      </c>
      <c r="AL35" s="318">
        <v>0</v>
      </c>
      <c r="AM35" s="307">
        <f t="shared" si="24"/>
        <v>7</v>
      </c>
      <c r="AN35" s="307">
        <f t="shared" si="25"/>
        <v>1</v>
      </c>
      <c r="AO35" s="317">
        <v>0</v>
      </c>
      <c r="AP35" s="305">
        <f t="shared" si="26"/>
        <v>9</v>
      </c>
      <c r="AQ35" s="305">
        <f t="shared" si="27"/>
        <v>1</v>
      </c>
      <c r="AR35" s="318">
        <v>0</v>
      </c>
      <c r="AS35" s="307">
        <f t="shared" si="28"/>
        <v>10</v>
      </c>
      <c r="AT35" s="307">
        <f t="shared" si="29"/>
        <v>1</v>
      </c>
      <c r="AU35" s="311" cm="1">
        <f t="array" aca="1" ref="AU35" ca="1">ROUNDUP(SUMPRODUCT(--($E$7:$AT$7=AU$7),$E35:$AT35,$E$3:$AT$3),3)</f>
        <v>1</v>
      </c>
      <c r="AV35" s="305">
        <v>18</v>
      </c>
      <c r="AW35" s="371" cm="1">
        <f t="array" aca="1" ref="AW35" ca="1">ROUNDUP(SUMPRODUCT(--($E$7:$AT$7=AW$7),$E35:$AT35,$E$3:$AT$3),3)</f>
        <v>1</v>
      </c>
      <c r="AX35" s="372">
        <f t="shared" ca="1" si="30"/>
        <v>20</v>
      </c>
      <c r="AY35" s="501">
        <f t="shared" ca="1" si="31"/>
        <v>-2</v>
      </c>
      <c r="AZ35" s="316" t="s">
        <v>11</v>
      </c>
      <c r="BA35" s="322" t="s">
        <v>86</v>
      </c>
    </row>
    <row r="36" spans="2:53" s="445" customFormat="1" ht="12.95" customHeight="1">
      <c r="B36" s="323" t="s">
        <v>86</v>
      </c>
      <c r="C36" s="324" t="s">
        <v>39</v>
      </c>
      <c r="D36" s="373" t="s">
        <v>387</v>
      </c>
      <c r="E36" s="374">
        <v>0</v>
      </c>
      <c r="F36" s="326">
        <f t="shared" si="3"/>
        <v>13</v>
      </c>
      <c r="G36" s="326">
        <f t="shared" si="32"/>
        <v>1</v>
      </c>
      <c r="H36" s="330">
        <v>0</v>
      </c>
      <c r="I36" s="328">
        <f t="shared" si="4"/>
        <v>20</v>
      </c>
      <c r="J36" s="346">
        <f t="shared" si="5"/>
        <v>1</v>
      </c>
      <c r="K36" s="325">
        <v>0</v>
      </c>
      <c r="L36" s="326">
        <f t="shared" si="6"/>
        <v>9</v>
      </c>
      <c r="M36" s="326">
        <f t="shared" si="7"/>
        <v>1</v>
      </c>
      <c r="N36" s="327">
        <v>0</v>
      </c>
      <c r="O36" s="328">
        <f t="shared" si="8"/>
        <v>10</v>
      </c>
      <c r="P36" s="346">
        <f t="shared" si="9"/>
        <v>1</v>
      </c>
      <c r="Q36" s="325">
        <v>0</v>
      </c>
      <c r="R36" s="326">
        <f t="shared" si="10"/>
        <v>7</v>
      </c>
      <c r="S36" s="326">
        <f t="shared" si="11"/>
        <v>1</v>
      </c>
      <c r="T36" s="327">
        <v>0</v>
      </c>
      <c r="U36" s="328">
        <f t="shared" si="12"/>
        <v>8</v>
      </c>
      <c r="V36" s="346">
        <f t="shared" si="13"/>
        <v>1</v>
      </c>
      <c r="W36" s="325">
        <v>0</v>
      </c>
      <c r="X36" s="326">
        <f t="shared" si="14"/>
        <v>7</v>
      </c>
      <c r="Y36" s="326">
        <f t="shared" si="15"/>
        <v>1</v>
      </c>
      <c r="Z36" s="327">
        <v>0</v>
      </c>
      <c r="AA36" s="328">
        <f t="shared" si="16"/>
        <v>7</v>
      </c>
      <c r="AB36" s="346">
        <f t="shared" si="17"/>
        <v>1</v>
      </c>
      <c r="AC36" s="325">
        <v>0</v>
      </c>
      <c r="AD36" s="326">
        <f t="shared" si="18"/>
        <v>5</v>
      </c>
      <c r="AE36" s="326">
        <f t="shared" si="19"/>
        <v>1</v>
      </c>
      <c r="AF36" s="327">
        <v>0</v>
      </c>
      <c r="AG36" s="328">
        <f t="shared" si="20"/>
        <v>5</v>
      </c>
      <c r="AH36" s="346">
        <f t="shared" si="21"/>
        <v>1</v>
      </c>
      <c r="AI36" s="325">
        <v>0</v>
      </c>
      <c r="AJ36" s="326">
        <f t="shared" si="22"/>
        <v>7</v>
      </c>
      <c r="AK36" s="326">
        <f t="shared" si="23"/>
        <v>1</v>
      </c>
      <c r="AL36" s="327">
        <v>0</v>
      </c>
      <c r="AM36" s="328">
        <f t="shared" si="24"/>
        <v>7</v>
      </c>
      <c r="AN36" s="328">
        <f t="shared" si="25"/>
        <v>1</v>
      </c>
      <c r="AO36" s="325">
        <v>0</v>
      </c>
      <c r="AP36" s="326">
        <f t="shared" si="26"/>
        <v>9</v>
      </c>
      <c r="AQ36" s="326">
        <f t="shared" si="27"/>
        <v>1</v>
      </c>
      <c r="AR36" s="327">
        <v>0</v>
      </c>
      <c r="AS36" s="328">
        <f t="shared" si="28"/>
        <v>10</v>
      </c>
      <c r="AT36" s="328">
        <f t="shared" si="29"/>
        <v>1</v>
      </c>
      <c r="AU36" s="332" cm="1">
        <f t="array" aca="1" ref="AU36" ca="1">ROUNDUP(SUMPRODUCT(--($E$7:$AT$7=AU$7),$E36:$AT36,$E$3:$AT$3),3)</f>
        <v>1</v>
      </c>
      <c r="AV36" s="326">
        <v>18</v>
      </c>
      <c r="AW36" s="375" cm="1">
        <f t="array" aca="1" ref="AW36" ca="1">ROUNDUP(SUMPRODUCT(--($E$7:$AT$7=AW$7),$E36:$AT36,$E$3:$AT$3),3)</f>
        <v>1</v>
      </c>
      <c r="AX36" s="376">
        <f t="shared" ca="1" si="30"/>
        <v>20</v>
      </c>
      <c r="AY36" s="501">
        <f t="shared" ca="1" si="31"/>
        <v>-2</v>
      </c>
      <c r="AZ36" s="324" t="s">
        <v>39</v>
      </c>
      <c r="BA36" s="334" t="s">
        <v>86</v>
      </c>
    </row>
    <row r="37" spans="2:53" s="445" customFormat="1" ht="12.95" customHeight="1">
      <c r="B37" s="314" t="s">
        <v>89</v>
      </c>
      <c r="C37" s="343" t="s">
        <v>6</v>
      </c>
      <c r="D37" s="377" t="s">
        <v>388</v>
      </c>
      <c r="E37" s="364">
        <v>861.6</v>
      </c>
      <c r="F37" s="304">
        <f t="shared" si="3"/>
        <v>1</v>
      </c>
      <c r="G37" s="304">
        <f t="shared" si="32"/>
        <v>5</v>
      </c>
      <c r="H37" s="310">
        <v>2053.87</v>
      </c>
      <c r="I37" s="312">
        <f t="shared" si="4"/>
        <v>1</v>
      </c>
      <c r="J37" s="365">
        <f t="shared" si="5"/>
        <v>5</v>
      </c>
      <c r="K37" s="303">
        <v>1195590</v>
      </c>
      <c r="L37" s="304">
        <f t="shared" si="6"/>
        <v>1</v>
      </c>
      <c r="M37" s="304">
        <f t="shared" si="7"/>
        <v>5</v>
      </c>
      <c r="N37" s="306">
        <v>4975600</v>
      </c>
      <c r="O37" s="312">
        <f t="shared" si="8"/>
        <v>1</v>
      </c>
      <c r="P37" s="365">
        <f t="shared" si="9"/>
        <v>5</v>
      </c>
      <c r="Q37" s="303">
        <v>862980</v>
      </c>
      <c r="R37" s="304">
        <f t="shared" si="10"/>
        <v>1</v>
      </c>
      <c r="S37" s="304">
        <f t="shared" si="11"/>
        <v>5</v>
      </c>
      <c r="T37" s="306">
        <v>4595680</v>
      </c>
      <c r="U37" s="312">
        <f t="shared" si="12"/>
        <v>1</v>
      </c>
      <c r="V37" s="365">
        <f t="shared" si="13"/>
        <v>5</v>
      </c>
      <c r="W37" s="303">
        <v>340000</v>
      </c>
      <c r="X37" s="304">
        <f t="shared" si="14"/>
        <v>1</v>
      </c>
      <c r="Y37" s="304">
        <f t="shared" si="15"/>
        <v>5</v>
      </c>
      <c r="Z37" s="306">
        <v>2123000</v>
      </c>
      <c r="AA37" s="312">
        <f t="shared" si="16"/>
        <v>1</v>
      </c>
      <c r="AB37" s="365">
        <f t="shared" si="17"/>
        <v>5</v>
      </c>
      <c r="AC37" s="303">
        <v>100600</v>
      </c>
      <c r="AD37" s="304">
        <f t="shared" si="18"/>
        <v>1</v>
      </c>
      <c r="AE37" s="304">
        <f t="shared" si="19"/>
        <v>5</v>
      </c>
      <c r="AF37" s="306">
        <v>492500</v>
      </c>
      <c r="AG37" s="312">
        <f t="shared" si="20"/>
        <v>1</v>
      </c>
      <c r="AH37" s="365">
        <f t="shared" si="21"/>
        <v>5</v>
      </c>
      <c r="AI37" s="303">
        <v>6906</v>
      </c>
      <c r="AJ37" s="304">
        <f t="shared" si="22"/>
        <v>1</v>
      </c>
      <c r="AK37" s="304">
        <f t="shared" si="23"/>
        <v>5</v>
      </c>
      <c r="AL37" s="306">
        <v>15451</v>
      </c>
      <c r="AM37" s="312">
        <f t="shared" si="24"/>
        <v>1</v>
      </c>
      <c r="AN37" s="312">
        <f t="shared" si="25"/>
        <v>5</v>
      </c>
      <c r="AO37" s="303">
        <v>487</v>
      </c>
      <c r="AP37" s="304">
        <f t="shared" si="26"/>
        <v>1</v>
      </c>
      <c r="AQ37" s="304">
        <f t="shared" si="27"/>
        <v>5</v>
      </c>
      <c r="AR37" s="306">
        <v>1894580</v>
      </c>
      <c r="AS37" s="312">
        <f t="shared" si="28"/>
        <v>1</v>
      </c>
      <c r="AT37" s="312">
        <f t="shared" si="29"/>
        <v>5</v>
      </c>
      <c r="AU37" s="336" cm="1">
        <f t="array" aca="1" ref="AU37" ca="1">ROUNDUP(SUMPRODUCT(--($E$7:$AT$7=AU$7),$E37:$AT37,$E$3:$AT$3),3)</f>
        <v>5</v>
      </c>
      <c r="AV37" s="304">
        <v>1</v>
      </c>
      <c r="AW37" s="366" cm="1">
        <f t="array" aca="1" ref="AW37" ca="1">ROUNDUP(SUMPRODUCT(--($E$7:$AT$7=AW$7),$E37:$AT37,$E$3:$AT$3),3)</f>
        <v>5</v>
      </c>
      <c r="AX37" s="367">
        <f t="shared" ca="1" si="30"/>
        <v>1</v>
      </c>
      <c r="AY37" s="501">
        <f t="shared" ca="1" si="31"/>
        <v>0</v>
      </c>
      <c r="AZ37" s="343" t="s">
        <v>6</v>
      </c>
      <c r="BA37" s="314" t="s">
        <v>89</v>
      </c>
    </row>
    <row r="38" spans="2:53" s="445" customFormat="1" ht="12.95" customHeight="1">
      <c r="B38" s="322" t="s">
        <v>89</v>
      </c>
      <c r="C38" s="344" t="s">
        <v>8</v>
      </c>
      <c r="D38" s="378" t="s">
        <v>389</v>
      </c>
      <c r="E38" s="369">
        <v>12.1</v>
      </c>
      <c r="F38" s="305">
        <f t="shared" si="3"/>
        <v>8</v>
      </c>
      <c r="G38" s="305">
        <f t="shared" si="32"/>
        <v>3</v>
      </c>
      <c r="H38" s="320">
        <v>8.5510000000000002</v>
      </c>
      <c r="I38" s="307">
        <f t="shared" si="4"/>
        <v>10</v>
      </c>
      <c r="J38" s="370">
        <f t="shared" si="5"/>
        <v>3</v>
      </c>
      <c r="K38" s="317">
        <v>186150</v>
      </c>
      <c r="L38" s="305">
        <f t="shared" si="6"/>
        <v>2</v>
      </c>
      <c r="M38" s="305">
        <f t="shared" si="7"/>
        <v>4</v>
      </c>
      <c r="N38" s="318">
        <v>186150</v>
      </c>
      <c r="O38" s="307">
        <f t="shared" si="8"/>
        <v>3</v>
      </c>
      <c r="P38" s="370">
        <f t="shared" si="9"/>
        <v>4</v>
      </c>
      <c r="Q38" s="317">
        <v>77300</v>
      </c>
      <c r="R38" s="305">
        <f t="shared" si="10"/>
        <v>2</v>
      </c>
      <c r="S38" s="305">
        <f t="shared" si="11"/>
        <v>4</v>
      </c>
      <c r="T38" s="318">
        <v>77300</v>
      </c>
      <c r="U38" s="307">
        <f t="shared" si="12"/>
        <v>3</v>
      </c>
      <c r="V38" s="370">
        <f t="shared" si="13"/>
        <v>4</v>
      </c>
      <c r="W38" s="317">
        <v>50300</v>
      </c>
      <c r="X38" s="305">
        <f t="shared" si="14"/>
        <v>4</v>
      </c>
      <c r="Y38" s="305">
        <f t="shared" si="15"/>
        <v>3</v>
      </c>
      <c r="Z38" s="318">
        <v>50300</v>
      </c>
      <c r="AA38" s="307">
        <f t="shared" si="16"/>
        <v>4</v>
      </c>
      <c r="AB38" s="370">
        <f t="shared" si="17"/>
        <v>3</v>
      </c>
      <c r="AC38" s="317">
        <v>7200</v>
      </c>
      <c r="AD38" s="305">
        <f t="shared" si="18"/>
        <v>2</v>
      </c>
      <c r="AE38" s="305">
        <f t="shared" si="19"/>
        <v>4</v>
      </c>
      <c r="AF38" s="318">
        <v>7200</v>
      </c>
      <c r="AG38" s="307">
        <f t="shared" si="20"/>
        <v>2</v>
      </c>
      <c r="AH38" s="370">
        <f t="shared" si="21"/>
        <v>4</v>
      </c>
      <c r="AI38" s="317">
        <v>944</v>
      </c>
      <c r="AJ38" s="305">
        <f t="shared" si="22"/>
        <v>3</v>
      </c>
      <c r="AK38" s="305">
        <f t="shared" si="23"/>
        <v>4</v>
      </c>
      <c r="AL38" s="318">
        <v>994</v>
      </c>
      <c r="AM38" s="307">
        <f t="shared" si="24"/>
        <v>3</v>
      </c>
      <c r="AN38" s="307">
        <f t="shared" si="25"/>
        <v>4</v>
      </c>
      <c r="AO38" s="317">
        <v>0</v>
      </c>
      <c r="AP38" s="305">
        <f t="shared" si="26"/>
        <v>9</v>
      </c>
      <c r="AQ38" s="305">
        <f t="shared" si="27"/>
        <v>1</v>
      </c>
      <c r="AR38" s="318">
        <v>0</v>
      </c>
      <c r="AS38" s="307">
        <f t="shared" si="28"/>
        <v>10</v>
      </c>
      <c r="AT38" s="307">
        <f t="shared" si="29"/>
        <v>1</v>
      </c>
      <c r="AU38" s="311" cm="1">
        <f t="array" aca="1" ref="AU38" ca="1">ROUNDUP(SUMPRODUCT(--($E$7:$AT$7=AU$7),$E38:$AT38,$E$3:$AT$3),3)</f>
        <v>3.286</v>
      </c>
      <c r="AV38" s="305">
        <v>3</v>
      </c>
      <c r="AW38" s="371" cm="1">
        <f t="array" aca="1" ref="AW38" ca="1">ROUNDUP(SUMPRODUCT(--($E$7:$AT$7=AW$7),$E38:$AT38,$E$3:$AT$3),3)</f>
        <v>3.286</v>
      </c>
      <c r="AX38" s="372">
        <f t="shared" ca="1" si="30"/>
        <v>4</v>
      </c>
      <c r="AY38" s="501">
        <f t="shared" ca="1" si="31"/>
        <v>-1</v>
      </c>
      <c r="AZ38" s="344" t="s">
        <v>8</v>
      </c>
      <c r="BA38" s="322" t="s">
        <v>89</v>
      </c>
    </row>
    <row r="39" spans="2:53" s="445" customFormat="1" ht="12.95" customHeight="1">
      <c r="B39" s="334" t="s">
        <v>89</v>
      </c>
      <c r="C39" s="345" t="s">
        <v>14</v>
      </c>
      <c r="D39" s="379" t="s">
        <v>390</v>
      </c>
      <c r="E39" s="374">
        <v>15.1</v>
      </c>
      <c r="F39" s="326">
        <f t="shared" si="3"/>
        <v>7</v>
      </c>
      <c r="G39" s="326">
        <f t="shared" si="32"/>
        <v>3</v>
      </c>
      <c r="H39" s="330">
        <v>29.091999999999999</v>
      </c>
      <c r="I39" s="328">
        <f t="shared" si="4"/>
        <v>5</v>
      </c>
      <c r="J39" s="346">
        <f t="shared" si="5"/>
        <v>4</v>
      </c>
      <c r="K39" s="325">
        <v>172500</v>
      </c>
      <c r="L39" s="326">
        <f t="shared" si="6"/>
        <v>3</v>
      </c>
      <c r="M39" s="326">
        <f t="shared" si="7"/>
        <v>4</v>
      </c>
      <c r="N39" s="327">
        <v>459200</v>
      </c>
      <c r="O39" s="328">
        <f t="shared" si="8"/>
        <v>2</v>
      </c>
      <c r="P39" s="346">
        <f t="shared" si="9"/>
        <v>5</v>
      </c>
      <c r="Q39" s="325">
        <v>24240</v>
      </c>
      <c r="R39" s="326">
        <f t="shared" si="10"/>
        <v>3</v>
      </c>
      <c r="S39" s="326">
        <f t="shared" si="11"/>
        <v>4</v>
      </c>
      <c r="T39" s="327">
        <v>82300</v>
      </c>
      <c r="U39" s="328">
        <f t="shared" si="12"/>
        <v>2</v>
      </c>
      <c r="V39" s="346">
        <f t="shared" si="13"/>
        <v>4</v>
      </c>
      <c r="W39" s="325">
        <v>66000</v>
      </c>
      <c r="X39" s="326">
        <f t="shared" si="14"/>
        <v>2</v>
      </c>
      <c r="Y39" s="326">
        <f t="shared" si="15"/>
        <v>4</v>
      </c>
      <c r="Z39" s="327">
        <v>66000</v>
      </c>
      <c r="AA39" s="328">
        <f t="shared" si="16"/>
        <v>3</v>
      </c>
      <c r="AB39" s="346">
        <f t="shared" si="17"/>
        <v>4</v>
      </c>
      <c r="AC39" s="325">
        <v>2400</v>
      </c>
      <c r="AD39" s="326">
        <f t="shared" si="18"/>
        <v>3</v>
      </c>
      <c r="AE39" s="326">
        <f t="shared" si="19"/>
        <v>3</v>
      </c>
      <c r="AF39" s="327">
        <v>2400</v>
      </c>
      <c r="AG39" s="328">
        <f t="shared" si="20"/>
        <v>3</v>
      </c>
      <c r="AH39" s="346">
        <f t="shared" si="21"/>
        <v>3</v>
      </c>
      <c r="AI39" s="325">
        <v>1295</v>
      </c>
      <c r="AJ39" s="326">
        <f t="shared" si="22"/>
        <v>2</v>
      </c>
      <c r="AK39" s="326">
        <f t="shared" si="23"/>
        <v>4</v>
      </c>
      <c r="AL39" s="327">
        <v>1295</v>
      </c>
      <c r="AM39" s="328">
        <f t="shared" si="24"/>
        <v>2</v>
      </c>
      <c r="AN39" s="328">
        <f t="shared" si="25"/>
        <v>4</v>
      </c>
      <c r="AO39" s="325">
        <v>24</v>
      </c>
      <c r="AP39" s="326">
        <f t="shared" si="26"/>
        <v>4</v>
      </c>
      <c r="AQ39" s="326">
        <f t="shared" si="27"/>
        <v>3</v>
      </c>
      <c r="AR39" s="327">
        <v>58000</v>
      </c>
      <c r="AS39" s="328">
        <f t="shared" si="28"/>
        <v>4</v>
      </c>
      <c r="AT39" s="328">
        <f t="shared" si="29"/>
        <v>4</v>
      </c>
      <c r="AU39" s="332" cm="1">
        <f t="array" aca="1" ref="AU39" ca="1">ROUNDUP(SUMPRODUCT(--($E$7:$AT$7=AU$7),$E39:$AT39,$E$3:$AT$3),3)</f>
        <v>3.5720000000000001</v>
      </c>
      <c r="AV39" s="326">
        <v>2</v>
      </c>
      <c r="AW39" s="375" cm="1">
        <f t="array" aca="1" ref="AW39" ca="1">ROUNDUP(SUMPRODUCT(--($E$7:$AT$7=AW$7),$E39:$AT39,$E$3:$AT$3),3)</f>
        <v>4</v>
      </c>
      <c r="AX39" s="376">
        <f t="shared" ca="1" si="30"/>
        <v>2</v>
      </c>
      <c r="AY39" s="501">
        <f t="shared" ca="1" si="31"/>
        <v>0</v>
      </c>
      <c r="AZ39" s="345" t="s">
        <v>14</v>
      </c>
      <c r="BA39" s="334" t="s">
        <v>89</v>
      </c>
    </row>
    <row r="40" spans="2:53" s="445" customFormat="1" ht="12.95" customHeight="1">
      <c r="B40" s="314" t="s">
        <v>90</v>
      </c>
      <c r="C40" s="343" t="s">
        <v>9</v>
      </c>
      <c r="D40" s="377" t="s">
        <v>391</v>
      </c>
      <c r="E40" s="364">
        <v>0</v>
      </c>
      <c r="F40" s="304">
        <f t="shared" si="3"/>
        <v>13</v>
      </c>
      <c r="G40" s="304">
        <f t="shared" si="32"/>
        <v>1</v>
      </c>
      <c r="H40" s="310">
        <v>4.8000000000000001E-2</v>
      </c>
      <c r="I40" s="312">
        <f t="shared" si="4"/>
        <v>19</v>
      </c>
      <c r="J40" s="365">
        <f t="shared" si="5"/>
        <v>1</v>
      </c>
      <c r="K40" s="303">
        <v>0</v>
      </c>
      <c r="L40" s="304">
        <f t="shared" si="6"/>
        <v>9</v>
      </c>
      <c r="M40" s="304">
        <f t="shared" si="7"/>
        <v>1</v>
      </c>
      <c r="N40" s="306">
        <v>0</v>
      </c>
      <c r="O40" s="312">
        <f t="shared" si="8"/>
        <v>10</v>
      </c>
      <c r="P40" s="365">
        <f t="shared" si="9"/>
        <v>1</v>
      </c>
      <c r="Q40" s="303">
        <v>0</v>
      </c>
      <c r="R40" s="304">
        <f t="shared" si="10"/>
        <v>7</v>
      </c>
      <c r="S40" s="304">
        <f t="shared" si="11"/>
        <v>1</v>
      </c>
      <c r="T40" s="306">
        <v>0</v>
      </c>
      <c r="U40" s="312">
        <f t="shared" si="12"/>
        <v>8</v>
      </c>
      <c r="V40" s="365">
        <f t="shared" si="13"/>
        <v>1</v>
      </c>
      <c r="W40" s="303">
        <v>0</v>
      </c>
      <c r="X40" s="304">
        <f t="shared" si="14"/>
        <v>7</v>
      </c>
      <c r="Y40" s="304">
        <f t="shared" si="15"/>
        <v>1</v>
      </c>
      <c r="Z40" s="306">
        <v>0</v>
      </c>
      <c r="AA40" s="312">
        <f t="shared" si="16"/>
        <v>7</v>
      </c>
      <c r="AB40" s="365">
        <f t="shared" si="17"/>
        <v>1</v>
      </c>
      <c r="AC40" s="303">
        <v>0</v>
      </c>
      <c r="AD40" s="304">
        <f t="shared" si="18"/>
        <v>5</v>
      </c>
      <c r="AE40" s="304">
        <f t="shared" si="19"/>
        <v>1</v>
      </c>
      <c r="AF40" s="306">
        <v>0</v>
      </c>
      <c r="AG40" s="312">
        <f t="shared" si="20"/>
        <v>5</v>
      </c>
      <c r="AH40" s="365">
        <f t="shared" si="21"/>
        <v>1</v>
      </c>
      <c r="AI40" s="303">
        <v>0</v>
      </c>
      <c r="AJ40" s="304">
        <f t="shared" si="22"/>
        <v>7</v>
      </c>
      <c r="AK40" s="304">
        <f t="shared" si="23"/>
        <v>1</v>
      </c>
      <c r="AL40" s="306">
        <v>0</v>
      </c>
      <c r="AM40" s="312">
        <f t="shared" si="24"/>
        <v>7</v>
      </c>
      <c r="AN40" s="307">
        <f t="shared" si="25"/>
        <v>1</v>
      </c>
      <c r="AO40" s="303">
        <v>3</v>
      </c>
      <c r="AP40" s="304">
        <f t="shared" si="26"/>
        <v>8</v>
      </c>
      <c r="AQ40" s="304">
        <f t="shared" si="27"/>
        <v>2</v>
      </c>
      <c r="AR40" s="306">
        <v>3000</v>
      </c>
      <c r="AS40" s="312">
        <f t="shared" si="28"/>
        <v>9</v>
      </c>
      <c r="AT40" s="307">
        <f t="shared" si="29"/>
        <v>1</v>
      </c>
      <c r="AU40" s="336" cm="1">
        <f t="array" aca="1" ref="AU40" ca="1">ROUNDUP(SUMPRODUCT(--($E$7:$AT$7=AU$7),$E40:$AT40,$E$3:$AT$3),3)</f>
        <v>1.1429999999999998</v>
      </c>
      <c r="AV40" s="304">
        <v>15</v>
      </c>
      <c r="AW40" s="366" cm="1">
        <f t="array" aca="1" ref="AW40" ca="1">ROUNDUP(SUMPRODUCT(--($E$7:$AT$7=AW$7),$E40:$AT40,$E$3:$AT$3),3)</f>
        <v>1</v>
      </c>
      <c r="AX40" s="367">
        <f t="shared" ca="1" si="30"/>
        <v>20</v>
      </c>
      <c r="AY40" s="501">
        <f t="shared" ca="1" si="31"/>
        <v>-5</v>
      </c>
      <c r="AZ40" s="343" t="s">
        <v>9</v>
      </c>
      <c r="BA40" s="314" t="s">
        <v>90</v>
      </c>
    </row>
    <row r="41" spans="2:53" s="445" customFormat="1" ht="12.95" customHeight="1">
      <c r="B41" s="322" t="s">
        <v>90</v>
      </c>
      <c r="C41" s="344" t="s">
        <v>7</v>
      </c>
      <c r="D41" s="378" t="s">
        <v>392</v>
      </c>
      <c r="E41" s="369">
        <v>0</v>
      </c>
      <c r="F41" s="305">
        <f t="shared" si="3"/>
        <v>13</v>
      </c>
      <c r="G41" s="305">
        <f t="shared" si="32"/>
        <v>1</v>
      </c>
      <c r="H41" s="320">
        <v>0.1</v>
      </c>
      <c r="I41" s="307">
        <f t="shared" si="4"/>
        <v>16</v>
      </c>
      <c r="J41" s="370">
        <f t="shared" si="5"/>
        <v>2</v>
      </c>
      <c r="K41" s="317">
        <v>0</v>
      </c>
      <c r="L41" s="305">
        <f t="shared" si="6"/>
        <v>9</v>
      </c>
      <c r="M41" s="305">
        <f t="shared" si="7"/>
        <v>1</v>
      </c>
      <c r="N41" s="318">
        <v>0</v>
      </c>
      <c r="O41" s="307">
        <f t="shared" si="8"/>
        <v>10</v>
      </c>
      <c r="P41" s="370">
        <f t="shared" si="9"/>
        <v>1</v>
      </c>
      <c r="Q41" s="317">
        <v>5000</v>
      </c>
      <c r="R41" s="305">
        <f t="shared" si="10"/>
        <v>4</v>
      </c>
      <c r="S41" s="305">
        <f t="shared" si="11"/>
        <v>3</v>
      </c>
      <c r="T41" s="318">
        <v>5000</v>
      </c>
      <c r="U41" s="307">
        <f t="shared" si="12"/>
        <v>5</v>
      </c>
      <c r="V41" s="370">
        <f t="shared" si="13"/>
        <v>3</v>
      </c>
      <c r="W41" s="317">
        <v>0</v>
      </c>
      <c r="X41" s="305">
        <f t="shared" si="14"/>
        <v>7</v>
      </c>
      <c r="Y41" s="305">
        <f t="shared" si="15"/>
        <v>1</v>
      </c>
      <c r="Z41" s="318">
        <v>0</v>
      </c>
      <c r="AA41" s="307">
        <f t="shared" si="16"/>
        <v>7</v>
      </c>
      <c r="AB41" s="370">
        <f t="shared" si="17"/>
        <v>1</v>
      </c>
      <c r="AC41" s="317">
        <v>0</v>
      </c>
      <c r="AD41" s="305">
        <f t="shared" si="18"/>
        <v>5</v>
      </c>
      <c r="AE41" s="305">
        <f t="shared" si="19"/>
        <v>1</v>
      </c>
      <c r="AF41" s="318">
        <v>0</v>
      </c>
      <c r="AG41" s="307">
        <f t="shared" si="20"/>
        <v>5</v>
      </c>
      <c r="AH41" s="370">
        <f t="shared" si="21"/>
        <v>1</v>
      </c>
      <c r="AI41" s="317">
        <v>0</v>
      </c>
      <c r="AJ41" s="305">
        <f t="shared" si="22"/>
        <v>7</v>
      </c>
      <c r="AK41" s="305">
        <f t="shared" si="23"/>
        <v>1</v>
      </c>
      <c r="AL41" s="318">
        <v>0</v>
      </c>
      <c r="AM41" s="307">
        <f t="shared" si="24"/>
        <v>7</v>
      </c>
      <c r="AN41" s="307">
        <f t="shared" si="25"/>
        <v>1</v>
      </c>
      <c r="AO41" s="317">
        <v>0</v>
      </c>
      <c r="AP41" s="305">
        <f t="shared" si="26"/>
        <v>9</v>
      </c>
      <c r="AQ41" s="305">
        <f t="shared" si="27"/>
        <v>1</v>
      </c>
      <c r="AR41" s="318">
        <v>0</v>
      </c>
      <c r="AS41" s="307">
        <f t="shared" si="28"/>
        <v>10</v>
      </c>
      <c r="AT41" s="307">
        <f t="shared" si="29"/>
        <v>1</v>
      </c>
      <c r="AU41" s="311" cm="1">
        <f t="array" aca="1" ref="AU41" ca="1">ROUNDUP(SUMPRODUCT(--($E$7:$AT$7=AU$7),$E41:$AT41,$E$3:$AT$3),3)</f>
        <v>1.2859999999999998</v>
      </c>
      <c r="AV41" s="305">
        <v>10</v>
      </c>
      <c r="AW41" s="371" cm="1">
        <f t="array" aca="1" ref="AW41" ca="1">ROUNDUP(SUMPRODUCT(--($E$7:$AT$7=AW$7),$E41:$AT41,$E$3:$AT$3),3)</f>
        <v>1.4289999999999998</v>
      </c>
      <c r="AX41" s="372">
        <f t="shared" ca="1" si="30"/>
        <v>10</v>
      </c>
      <c r="AY41" s="501">
        <f t="shared" ca="1" si="31"/>
        <v>0</v>
      </c>
      <c r="AZ41" s="344" t="s">
        <v>7</v>
      </c>
      <c r="BA41" s="322" t="s">
        <v>90</v>
      </c>
    </row>
    <row r="42" spans="2:53" s="445" customFormat="1" ht="12.95" customHeight="1">
      <c r="B42" s="322" t="s">
        <v>90</v>
      </c>
      <c r="C42" s="344" t="s">
        <v>10</v>
      </c>
      <c r="D42" s="378" t="s">
        <v>393</v>
      </c>
      <c r="E42" s="369">
        <v>0</v>
      </c>
      <c r="F42" s="305">
        <f t="shared" si="3"/>
        <v>13</v>
      </c>
      <c r="G42" s="305">
        <f t="shared" si="32"/>
        <v>1</v>
      </c>
      <c r="H42" s="320">
        <v>0</v>
      </c>
      <c r="I42" s="307">
        <f t="shared" si="4"/>
        <v>20</v>
      </c>
      <c r="J42" s="370">
        <f t="shared" si="5"/>
        <v>1</v>
      </c>
      <c r="K42" s="317">
        <v>0</v>
      </c>
      <c r="L42" s="305">
        <f t="shared" si="6"/>
        <v>9</v>
      </c>
      <c r="M42" s="305">
        <f t="shared" si="7"/>
        <v>1</v>
      </c>
      <c r="N42" s="318">
        <v>30000</v>
      </c>
      <c r="O42" s="307">
        <f t="shared" si="8"/>
        <v>4</v>
      </c>
      <c r="P42" s="370">
        <f t="shared" si="9"/>
        <v>4</v>
      </c>
      <c r="Q42" s="317">
        <v>0</v>
      </c>
      <c r="R42" s="305">
        <f t="shared" si="10"/>
        <v>7</v>
      </c>
      <c r="S42" s="305">
        <f t="shared" si="11"/>
        <v>1</v>
      </c>
      <c r="T42" s="318">
        <v>0</v>
      </c>
      <c r="U42" s="307">
        <f t="shared" si="12"/>
        <v>8</v>
      </c>
      <c r="V42" s="370">
        <f t="shared" si="13"/>
        <v>1</v>
      </c>
      <c r="W42" s="317">
        <v>0</v>
      </c>
      <c r="X42" s="305">
        <f t="shared" si="14"/>
        <v>7</v>
      </c>
      <c r="Y42" s="305">
        <f t="shared" si="15"/>
        <v>1</v>
      </c>
      <c r="Z42" s="318">
        <v>0</v>
      </c>
      <c r="AA42" s="307">
        <f t="shared" si="16"/>
        <v>7</v>
      </c>
      <c r="AB42" s="370">
        <f t="shared" si="17"/>
        <v>1</v>
      </c>
      <c r="AC42" s="317">
        <v>0</v>
      </c>
      <c r="AD42" s="305">
        <f t="shared" si="18"/>
        <v>5</v>
      </c>
      <c r="AE42" s="305">
        <f t="shared" si="19"/>
        <v>1</v>
      </c>
      <c r="AF42" s="318">
        <v>0</v>
      </c>
      <c r="AG42" s="307">
        <f t="shared" si="20"/>
        <v>5</v>
      </c>
      <c r="AH42" s="370">
        <f t="shared" si="21"/>
        <v>1</v>
      </c>
      <c r="AI42" s="317">
        <v>0</v>
      </c>
      <c r="AJ42" s="305">
        <f t="shared" si="22"/>
        <v>7</v>
      </c>
      <c r="AK42" s="305">
        <f t="shared" si="23"/>
        <v>1</v>
      </c>
      <c r="AL42" s="318">
        <v>0</v>
      </c>
      <c r="AM42" s="307">
        <f t="shared" si="24"/>
        <v>7</v>
      </c>
      <c r="AN42" s="307">
        <f t="shared" si="25"/>
        <v>1</v>
      </c>
      <c r="AO42" s="317">
        <v>0</v>
      </c>
      <c r="AP42" s="305">
        <f t="shared" si="26"/>
        <v>9</v>
      </c>
      <c r="AQ42" s="305">
        <f t="shared" si="27"/>
        <v>1</v>
      </c>
      <c r="AR42" s="318">
        <v>0</v>
      </c>
      <c r="AS42" s="307">
        <f t="shared" si="28"/>
        <v>10</v>
      </c>
      <c r="AT42" s="307">
        <f t="shared" si="29"/>
        <v>1</v>
      </c>
      <c r="AU42" s="311" cm="1">
        <f t="array" aca="1" ref="AU42" ca="1">ROUNDUP(SUMPRODUCT(--($E$7:$AT$7=AU$7),$E42:$AT42,$E$3:$AT$3),3)</f>
        <v>1</v>
      </c>
      <c r="AV42" s="305">
        <v>18</v>
      </c>
      <c r="AW42" s="371" cm="1">
        <f t="array" aca="1" ref="AW42" ca="1">ROUNDUP(SUMPRODUCT(--($E$7:$AT$7=AW$7),$E42:$AT42,$E$3:$AT$3),3)</f>
        <v>1.4289999999999998</v>
      </c>
      <c r="AX42" s="372">
        <f t="shared" ca="1" si="30"/>
        <v>10</v>
      </c>
      <c r="AY42" s="501">
        <f t="shared" ca="1" si="31"/>
        <v>8</v>
      </c>
      <c r="AZ42" s="344" t="s">
        <v>10</v>
      </c>
      <c r="BA42" s="322" t="s">
        <v>90</v>
      </c>
    </row>
    <row r="43" spans="2:53" s="445" customFormat="1" ht="12.95" customHeight="1">
      <c r="B43" s="322" t="s">
        <v>90</v>
      </c>
      <c r="C43" s="344" t="s">
        <v>82</v>
      </c>
      <c r="D43" s="378" t="s">
        <v>394</v>
      </c>
      <c r="E43" s="369">
        <v>0</v>
      </c>
      <c r="F43" s="305">
        <f t="shared" si="3"/>
        <v>13</v>
      </c>
      <c r="G43" s="305">
        <f t="shared" si="32"/>
        <v>1</v>
      </c>
      <c r="H43" s="320">
        <v>0</v>
      </c>
      <c r="I43" s="307">
        <f t="shared" si="4"/>
        <v>20</v>
      </c>
      <c r="J43" s="370">
        <f t="shared" si="5"/>
        <v>1</v>
      </c>
      <c r="K43" s="317">
        <v>0</v>
      </c>
      <c r="L43" s="305">
        <f t="shared" si="6"/>
        <v>9</v>
      </c>
      <c r="M43" s="305">
        <f t="shared" si="7"/>
        <v>1</v>
      </c>
      <c r="N43" s="318">
        <v>0</v>
      </c>
      <c r="O43" s="307">
        <f t="shared" si="8"/>
        <v>10</v>
      </c>
      <c r="P43" s="370">
        <f t="shared" si="9"/>
        <v>1</v>
      </c>
      <c r="Q43" s="317">
        <v>0</v>
      </c>
      <c r="R43" s="305">
        <f t="shared" si="10"/>
        <v>7</v>
      </c>
      <c r="S43" s="305">
        <f t="shared" si="11"/>
        <v>1</v>
      </c>
      <c r="T43" s="318">
        <v>0</v>
      </c>
      <c r="U43" s="307">
        <f t="shared" si="12"/>
        <v>8</v>
      </c>
      <c r="V43" s="370">
        <f t="shared" si="13"/>
        <v>1</v>
      </c>
      <c r="W43" s="317">
        <v>0</v>
      </c>
      <c r="X43" s="305">
        <f t="shared" si="14"/>
        <v>7</v>
      </c>
      <c r="Y43" s="305">
        <f t="shared" si="15"/>
        <v>1</v>
      </c>
      <c r="Z43" s="318">
        <v>0</v>
      </c>
      <c r="AA43" s="307">
        <f t="shared" si="16"/>
        <v>7</v>
      </c>
      <c r="AB43" s="370">
        <f t="shared" si="17"/>
        <v>1</v>
      </c>
      <c r="AC43" s="317">
        <v>0</v>
      </c>
      <c r="AD43" s="305">
        <f t="shared" si="18"/>
        <v>5</v>
      </c>
      <c r="AE43" s="305">
        <f t="shared" si="19"/>
        <v>1</v>
      </c>
      <c r="AF43" s="318">
        <v>0</v>
      </c>
      <c r="AG43" s="307">
        <f t="shared" si="20"/>
        <v>5</v>
      </c>
      <c r="AH43" s="370">
        <f t="shared" si="21"/>
        <v>1</v>
      </c>
      <c r="AI43" s="317">
        <v>0</v>
      </c>
      <c r="AJ43" s="305">
        <f t="shared" si="22"/>
        <v>7</v>
      </c>
      <c r="AK43" s="305">
        <f t="shared" si="23"/>
        <v>1</v>
      </c>
      <c r="AL43" s="318">
        <v>0</v>
      </c>
      <c r="AM43" s="307">
        <f t="shared" si="24"/>
        <v>7</v>
      </c>
      <c r="AN43" s="307">
        <f t="shared" si="25"/>
        <v>1</v>
      </c>
      <c r="AO43" s="317">
        <v>0</v>
      </c>
      <c r="AP43" s="305">
        <f t="shared" si="26"/>
        <v>9</v>
      </c>
      <c r="AQ43" s="305">
        <f t="shared" si="27"/>
        <v>1</v>
      </c>
      <c r="AR43" s="318">
        <v>0</v>
      </c>
      <c r="AS43" s="307">
        <f t="shared" si="28"/>
        <v>10</v>
      </c>
      <c r="AT43" s="307">
        <f t="shared" si="29"/>
        <v>1</v>
      </c>
      <c r="AU43" s="311" cm="1">
        <f t="array" aca="1" ref="AU43" ca="1">ROUNDUP(SUMPRODUCT(--($E$7:$AT$7=AU$7),$E43:$AT43,$E$3:$AT$3),3)</f>
        <v>1</v>
      </c>
      <c r="AV43" s="305">
        <v>18</v>
      </c>
      <c r="AW43" s="371" cm="1">
        <f t="array" aca="1" ref="AW43" ca="1">ROUNDUP(SUMPRODUCT(--($E$7:$AT$7=AW$7),$E43:$AT43,$E$3:$AT$3),3)</f>
        <v>1</v>
      </c>
      <c r="AX43" s="372">
        <f t="shared" ca="1" si="30"/>
        <v>20</v>
      </c>
      <c r="AY43" s="501">
        <f t="shared" ca="1" si="31"/>
        <v>-2</v>
      </c>
      <c r="AZ43" s="344" t="s">
        <v>82</v>
      </c>
      <c r="BA43" s="322" t="s">
        <v>90</v>
      </c>
    </row>
    <row r="44" spans="2:53" s="445" customFormat="1" ht="12.95" customHeight="1">
      <c r="B44" s="322" t="s">
        <v>90</v>
      </c>
      <c r="C44" s="344" t="s">
        <v>57</v>
      </c>
      <c r="D44" s="378" t="s">
        <v>395</v>
      </c>
      <c r="E44" s="369">
        <v>0</v>
      </c>
      <c r="F44" s="305">
        <f t="shared" si="3"/>
        <v>13</v>
      </c>
      <c r="G44" s="305">
        <f t="shared" si="32"/>
        <v>1</v>
      </c>
      <c r="H44" s="320">
        <v>6</v>
      </c>
      <c r="I44" s="307">
        <f t="shared" si="4"/>
        <v>11</v>
      </c>
      <c r="J44" s="370">
        <f t="shared" si="5"/>
        <v>3</v>
      </c>
      <c r="K44" s="317">
        <v>0</v>
      </c>
      <c r="L44" s="305">
        <f t="shared" si="6"/>
        <v>9</v>
      </c>
      <c r="M44" s="305">
        <f t="shared" si="7"/>
        <v>1</v>
      </c>
      <c r="N44" s="318">
        <v>0</v>
      </c>
      <c r="O44" s="307">
        <f t="shared" si="8"/>
        <v>10</v>
      </c>
      <c r="P44" s="370">
        <f t="shared" si="9"/>
        <v>1</v>
      </c>
      <c r="Q44" s="317">
        <v>0</v>
      </c>
      <c r="R44" s="305">
        <f t="shared" si="10"/>
        <v>7</v>
      </c>
      <c r="S44" s="305">
        <f t="shared" si="11"/>
        <v>1</v>
      </c>
      <c r="T44" s="318">
        <v>0</v>
      </c>
      <c r="U44" s="307">
        <f t="shared" si="12"/>
        <v>8</v>
      </c>
      <c r="V44" s="370">
        <f t="shared" si="13"/>
        <v>1</v>
      </c>
      <c r="W44" s="317">
        <v>0</v>
      </c>
      <c r="X44" s="305">
        <f t="shared" si="14"/>
        <v>7</v>
      </c>
      <c r="Y44" s="305">
        <f t="shared" si="15"/>
        <v>1</v>
      </c>
      <c r="Z44" s="318">
        <v>0</v>
      </c>
      <c r="AA44" s="307">
        <f t="shared" si="16"/>
        <v>7</v>
      </c>
      <c r="AB44" s="370">
        <f t="shared" si="17"/>
        <v>1</v>
      </c>
      <c r="AC44" s="317">
        <v>0</v>
      </c>
      <c r="AD44" s="305">
        <f t="shared" si="18"/>
        <v>5</v>
      </c>
      <c r="AE44" s="305">
        <f t="shared" si="19"/>
        <v>1</v>
      </c>
      <c r="AF44" s="318">
        <v>0</v>
      </c>
      <c r="AG44" s="307">
        <f t="shared" si="20"/>
        <v>5</v>
      </c>
      <c r="AH44" s="370">
        <f t="shared" si="21"/>
        <v>1</v>
      </c>
      <c r="AI44" s="317">
        <v>0</v>
      </c>
      <c r="AJ44" s="305">
        <f t="shared" si="22"/>
        <v>7</v>
      </c>
      <c r="AK44" s="305">
        <f t="shared" si="23"/>
        <v>1</v>
      </c>
      <c r="AL44" s="318">
        <v>0</v>
      </c>
      <c r="AM44" s="307">
        <f t="shared" si="24"/>
        <v>7</v>
      </c>
      <c r="AN44" s="307">
        <f t="shared" si="25"/>
        <v>1</v>
      </c>
      <c r="AO44" s="317">
        <v>0</v>
      </c>
      <c r="AP44" s="305">
        <f t="shared" si="26"/>
        <v>9</v>
      </c>
      <c r="AQ44" s="305">
        <f t="shared" si="27"/>
        <v>1</v>
      </c>
      <c r="AR44" s="318">
        <v>0</v>
      </c>
      <c r="AS44" s="307">
        <f t="shared" si="28"/>
        <v>10</v>
      </c>
      <c r="AT44" s="307">
        <f t="shared" si="29"/>
        <v>1</v>
      </c>
      <c r="AU44" s="311" cm="1">
        <f t="array" aca="1" ref="AU44" ca="1">ROUNDUP(SUMPRODUCT(--($E$7:$AT$7=AU$7),$E44:$AT44,$E$3:$AT$3),3)</f>
        <v>1</v>
      </c>
      <c r="AV44" s="305">
        <v>18</v>
      </c>
      <c r="AW44" s="371" cm="1">
        <f t="array" aca="1" ref="AW44" ca="1">ROUNDUP(SUMPRODUCT(--($E$7:$AT$7=AW$7),$E44:$AT44,$E$3:$AT$3),3)</f>
        <v>1.2859999999999998</v>
      </c>
      <c r="AX44" s="372">
        <f t="shared" ca="1" si="30"/>
        <v>15</v>
      </c>
      <c r="AY44" s="501">
        <f t="shared" ca="1" si="31"/>
        <v>3</v>
      </c>
      <c r="AZ44" s="344" t="s">
        <v>57</v>
      </c>
      <c r="BA44" s="322" t="s">
        <v>90</v>
      </c>
    </row>
    <row r="45" spans="2:53" s="445" customFormat="1" ht="12.95" customHeight="1">
      <c r="B45" s="334" t="s">
        <v>90</v>
      </c>
      <c r="C45" s="345" t="s">
        <v>58</v>
      </c>
      <c r="D45" s="379" t="s">
        <v>396</v>
      </c>
      <c r="E45" s="369">
        <v>0</v>
      </c>
      <c r="F45" s="305">
        <f t="shared" si="3"/>
        <v>13</v>
      </c>
      <c r="G45" s="305">
        <f t="shared" si="32"/>
        <v>1</v>
      </c>
      <c r="H45" s="320">
        <v>5</v>
      </c>
      <c r="I45" s="307">
        <f t="shared" si="4"/>
        <v>12</v>
      </c>
      <c r="J45" s="346">
        <f t="shared" si="5"/>
        <v>3</v>
      </c>
      <c r="K45" s="317">
        <v>17000</v>
      </c>
      <c r="L45" s="305">
        <f t="shared" si="6"/>
        <v>5</v>
      </c>
      <c r="M45" s="305">
        <f t="shared" si="7"/>
        <v>3</v>
      </c>
      <c r="N45" s="318">
        <v>17000</v>
      </c>
      <c r="O45" s="307">
        <f t="shared" si="8"/>
        <v>6</v>
      </c>
      <c r="P45" s="346">
        <f t="shared" si="9"/>
        <v>3</v>
      </c>
      <c r="Q45" s="317">
        <v>0</v>
      </c>
      <c r="R45" s="305">
        <f t="shared" si="10"/>
        <v>7</v>
      </c>
      <c r="S45" s="305">
        <f t="shared" si="11"/>
        <v>1</v>
      </c>
      <c r="T45" s="318">
        <v>0</v>
      </c>
      <c r="U45" s="307">
        <f t="shared" si="12"/>
        <v>8</v>
      </c>
      <c r="V45" s="346">
        <f t="shared" si="13"/>
        <v>1</v>
      </c>
      <c r="W45" s="317">
        <v>0</v>
      </c>
      <c r="X45" s="305">
        <f t="shared" si="14"/>
        <v>7</v>
      </c>
      <c r="Y45" s="305">
        <f t="shared" si="15"/>
        <v>1</v>
      </c>
      <c r="Z45" s="318">
        <v>0</v>
      </c>
      <c r="AA45" s="307">
        <f t="shared" si="16"/>
        <v>7</v>
      </c>
      <c r="AB45" s="346">
        <f t="shared" si="17"/>
        <v>1</v>
      </c>
      <c r="AC45" s="317">
        <v>0</v>
      </c>
      <c r="AD45" s="305">
        <f t="shared" si="18"/>
        <v>5</v>
      </c>
      <c r="AE45" s="305">
        <f t="shared" si="19"/>
        <v>1</v>
      </c>
      <c r="AF45" s="318">
        <v>0</v>
      </c>
      <c r="AG45" s="307">
        <f t="shared" si="20"/>
        <v>5</v>
      </c>
      <c r="AH45" s="346">
        <f t="shared" si="21"/>
        <v>1</v>
      </c>
      <c r="AI45" s="317">
        <v>0</v>
      </c>
      <c r="AJ45" s="305">
        <f t="shared" si="22"/>
        <v>7</v>
      </c>
      <c r="AK45" s="305">
        <f t="shared" si="23"/>
        <v>1</v>
      </c>
      <c r="AL45" s="318">
        <v>0</v>
      </c>
      <c r="AM45" s="307">
        <f t="shared" si="24"/>
        <v>7</v>
      </c>
      <c r="AN45" s="333">
        <f t="shared" si="25"/>
        <v>1</v>
      </c>
      <c r="AO45" s="317">
        <v>0</v>
      </c>
      <c r="AP45" s="305">
        <f t="shared" si="26"/>
        <v>9</v>
      </c>
      <c r="AQ45" s="305">
        <f t="shared" si="27"/>
        <v>1</v>
      </c>
      <c r="AR45" s="318">
        <v>0</v>
      </c>
      <c r="AS45" s="307">
        <f t="shared" si="28"/>
        <v>10</v>
      </c>
      <c r="AT45" s="333">
        <f t="shared" si="29"/>
        <v>1</v>
      </c>
      <c r="AU45" s="311" cm="1">
        <f t="array" aca="1" ref="AU45" ca="1">ROUNDUP(SUMPRODUCT(--($E$7:$AT$7=AU$7),$E45:$AT45,$E$3:$AT$3),3)</f>
        <v>1.2859999999999998</v>
      </c>
      <c r="AV45" s="305">
        <v>10</v>
      </c>
      <c r="AW45" s="371" cm="1">
        <f t="array" aca="1" ref="AW45" ca="1">ROUNDUP(SUMPRODUCT(--($E$7:$AT$7=AW$7),$E45:$AT45,$E$3:$AT$3),3)</f>
        <v>1.5719999999999998</v>
      </c>
      <c r="AX45" s="372">
        <f t="shared" ca="1" si="30"/>
        <v>9</v>
      </c>
      <c r="AY45" s="501">
        <f t="shared" ca="1" si="31"/>
        <v>1</v>
      </c>
      <c r="AZ45" s="345" t="s">
        <v>58</v>
      </c>
      <c r="BA45" s="334" t="s">
        <v>90</v>
      </c>
    </row>
    <row r="46" spans="2:53" ht="15" customHeight="1">
      <c r="B46" s="797" t="s">
        <v>347</v>
      </c>
      <c r="C46" s="798"/>
      <c r="D46" s="799"/>
      <c r="E46" s="347">
        <f>SUM(E16:E45)</f>
        <v>1096.9999999999998</v>
      </c>
      <c r="F46" s="348"/>
      <c r="G46" s="348"/>
      <c r="H46" s="348">
        <f>SUM(H16:H45)</f>
        <v>2366.2309999999998</v>
      </c>
      <c r="I46" s="348"/>
      <c r="J46" s="349"/>
      <c r="K46" s="347">
        <f>SUM(K16:K45)</f>
        <v>1617758</v>
      </c>
      <c r="L46" s="348"/>
      <c r="M46" s="348"/>
      <c r="N46" s="348">
        <f>SUM(N16:N45)</f>
        <v>5714667</v>
      </c>
      <c r="O46" s="348"/>
      <c r="P46" s="349"/>
      <c r="Q46" s="347">
        <f>SUM(Q16:Q45)</f>
        <v>973845</v>
      </c>
      <c r="R46" s="348"/>
      <c r="S46" s="348"/>
      <c r="T46" s="348">
        <f>SUM(T16:T45)</f>
        <v>4767605</v>
      </c>
      <c r="U46" s="348"/>
      <c r="V46" s="349"/>
      <c r="W46" s="347">
        <f>SUM(W16:W45)</f>
        <v>528300</v>
      </c>
      <c r="X46" s="348"/>
      <c r="Y46" s="348"/>
      <c r="Z46" s="348">
        <f>SUM(Z16:Z45)</f>
        <v>2341300</v>
      </c>
      <c r="AA46" s="348"/>
      <c r="AB46" s="349"/>
      <c r="AC46" s="347">
        <f>SUM(AC16:AC45)</f>
        <v>111700</v>
      </c>
      <c r="AD46" s="348"/>
      <c r="AE46" s="348"/>
      <c r="AF46" s="348">
        <f>SUM(AF16:AF45)</f>
        <v>503600</v>
      </c>
      <c r="AG46" s="348"/>
      <c r="AH46" s="349"/>
      <c r="AI46" s="347">
        <f>SUM(AI16:AI45)</f>
        <v>9845</v>
      </c>
      <c r="AJ46" s="348"/>
      <c r="AK46" s="348"/>
      <c r="AL46" s="348">
        <f>SUM(AL16:AL45)</f>
        <v>18440</v>
      </c>
      <c r="AM46" s="348"/>
      <c r="AN46" s="350"/>
      <c r="AO46" s="347">
        <f>SUM(AO16:AO45)</f>
        <v>639</v>
      </c>
      <c r="AP46" s="348"/>
      <c r="AQ46" s="348"/>
      <c r="AR46" s="348">
        <f>SUM(AR16:AR45)</f>
        <v>2186737</v>
      </c>
      <c r="AS46" s="348"/>
      <c r="AT46" s="350"/>
      <c r="AU46" s="788" t="s">
        <v>666</v>
      </c>
      <c r="AV46" s="789"/>
      <c r="AW46" s="351"/>
      <c r="AX46" s="351"/>
      <c r="AY46" s="352"/>
      <c r="AZ46" s="502"/>
      <c r="BA46" s="496"/>
    </row>
    <row r="47" spans="2:53">
      <c r="B47" s="758" t="s">
        <v>112</v>
      </c>
      <c r="C47" s="759"/>
      <c r="D47" s="800"/>
      <c r="E47" s="353">
        <f>MIN(E16:E45)</f>
        <v>0</v>
      </c>
      <c r="F47" s="354"/>
      <c r="G47" s="354"/>
      <c r="H47" s="354">
        <f>MIN(H16:H45)</f>
        <v>0</v>
      </c>
      <c r="I47" s="354"/>
      <c r="J47" s="355"/>
      <c r="K47" s="353">
        <f>MIN(K16:K45)</f>
        <v>0</v>
      </c>
      <c r="L47" s="354"/>
      <c r="M47" s="354"/>
      <c r="N47" s="354">
        <f>MIN(N16:N45)</f>
        <v>0</v>
      </c>
      <c r="O47" s="354"/>
      <c r="P47" s="355"/>
      <c r="Q47" s="353">
        <f>MIN(Q16:Q45)</f>
        <v>0</v>
      </c>
      <c r="R47" s="354"/>
      <c r="S47" s="354"/>
      <c r="T47" s="354">
        <f>MIN(T16:T45)</f>
        <v>0</v>
      </c>
      <c r="U47" s="354"/>
      <c r="V47" s="355"/>
      <c r="W47" s="353">
        <f>MIN(W16:W45)</f>
        <v>0</v>
      </c>
      <c r="X47" s="354"/>
      <c r="Y47" s="354"/>
      <c r="Z47" s="354">
        <f>MIN(Z16:Z45)</f>
        <v>0</v>
      </c>
      <c r="AA47" s="354"/>
      <c r="AB47" s="355"/>
      <c r="AC47" s="353">
        <f>MIN(AC16:AC45)</f>
        <v>0</v>
      </c>
      <c r="AD47" s="354"/>
      <c r="AE47" s="354"/>
      <c r="AF47" s="354">
        <f>MIN(AF16:AF45)</f>
        <v>0</v>
      </c>
      <c r="AG47" s="354"/>
      <c r="AH47" s="355"/>
      <c r="AI47" s="353">
        <f>MIN(AI16:AI45)</f>
        <v>0</v>
      </c>
      <c r="AJ47" s="354"/>
      <c r="AK47" s="354"/>
      <c r="AL47" s="354">
        <f>MIN(AL16:AL45)</f>
        <v>0</v>
      </c>
      <c r="AM47" s="354"/>
      <c r="AN47" s="354"/>
      <c r="AO47" s="353">
        <f>MIN(AO16:AO45)</f>
        <v>0</v>
      </c>
      <c r="AP47" s="354"/>
      <c r="AQ47" s="354"/>
      <c r="AR47" s="354">
        <f>MIN(AR16:AR46)</f>
        <v>0</v>
      </c>
      <c r="AS47" s="354"/>
      <c r="AT47" s="354"/>
      <c r="AU47" s="790"/>
      <c r="AV47" s="791"/>
      <c r="AW47" s="356"/>
      <c r="AX47" s="356"/>
      <c r="AY47" s="357"/>
      <c r="AZ47" s="436"/>
      <c r="BA47" s="497"/>
    </row>
    <row r="48" spans="2:53">
      <c r="B48" s="760" t="s">
        <v>113</v>
      </c>
      <c r="C48" s="761"/>
      <c r="D48" s="801"/>
      <c r="E48" s="358">
        <f>MAX(E16:E45)</f>
        <v>861.6</v>
      </c>
      <c r="F48" s="359"/>
      <c r="G48" s="359"/>
      <c r="H48" s="359">
        <f>MAX(H16:H45)</f>
        <v>2053.87</v>
      </c>
      <c r="I48" s="359"/>
      <c r="J48" s="360"/>
      <c r="K48" s="358">
        <f>MAX(K16:K45)</f>
        <v>1195590</v>
      </c>
      <c r="L48" s="359"/>
      <c r="M48" s="359"/>
      <c r="N48" s="359">
        <f>MAX(N16:N45)</f>
        <v>4975600</v>
      </c>
      <c r="O48" s="359"/>
      <c r="P48" s="360"/>
      <c r="Q48" s="358">
        <f>MAX(Q16:Q45)</f>
        <v>862980</v>
      </c>
      <c r="R48" s="359"/>
      <c r="S48" s="359"/>
      <c r="T48" s="359">
        <f>MAX(T16:T45)</f>
        <v>4595680</v>
      </c>
      <c r="U48" s="359"/>
      <c r="V48" s="360"/>
      <c r="W48" s="358">
        <f>MAX(W16:W45)</f>
        <v>340000</v>
      </c>
      <c r="X48" s="359"/>
      <c r="Y48" s="359"/>
      <c r="Z48" s="359">
        <f>MAX(Z16:Z45)</f>
        <v>2123000</v>
      </c>
      <c r="AA48" s="359"/>
      <c r="AB48" s="360"/>
      <c r="AC48" s="358">
        <f>MAX(AC16:AC45)</f>
        <v>100600</v>
      </c>
      <c r="AD48" s="359"/>
      <c r="AE48" s="359"/>
      <c r="AF48" s="359">
        <f>MAX(AF16:AF45)</f>
        <v>492500</v>
      </c>
      <c r="AG48" s="359"/>
      <c r="AH48" s="360"/>
      <c r="AI48" s="358">
        <f>MAX(AI16:AI45)</f>
        <v>6906</v>
      </c>
      <c r="AJ48" s="359"/>
      <c r="AK48" s="359"/>
      <c r="AL48" s="359">
        <f>MAX(AL16:AL45)</f>
        <v>15451</v>
      </c>
      <c r="AM48" s="359"/>
      <c r="AN48" s="354"/>
      <c r="AO48" s="358">
        <f>MAX(AO16:AO45)</f>
        <v>487</v>
      </c>
      <c r="AP48" s="359"/>
      <c r="AQ48" s="359"/>
      <c r="AR48" s="359">
        <f>MAX(AR16:AR45)</f>
        <v>1894580</v>
      </c>
      <c r="AS48" s="359"/>
      <c r="AT48" s="354"/>
      <c r="AU48" s="792"/>
      <c r="AV48" s="793"/>
      <c r="AW48" s="356"/>
      <c r="AX48" s="356"/>
      <c r="AY48" s="357"/>
      <c r="AZ48" s="436"/>
      <c r="BA48" s="497"/>
    </row>
    <row r="49" spans="2:53" s="445" customFormat="1" ht="14.1" customHeight="1">
      <c r="B49" s="762" t="s">
        <v>348</v>
      </c>
      <c r="C49" s="473"/>
      <c r="D49" s="459">
        <v>1</v>
      </c>
      <c r="E49" s="463">
        <v>0</v>
      </c>
      <c r="F49" s="456"/>
      <c r="G49" s="445">
        <f>IF(F49="",E49,F49)</f>
        <v>0</v>
      </c>
      <c r="H49" s="465">
        <v>0</v>
      </c>
      <c r="J49" s="445">
        <f>IF(I49="",H49,I49)</f>
        <v>0</v>
      </c>
      <c r="K49" s="487">
        <v>0</v>
      </c>
      <c r="L49" s="503">
        <v>0</v>
      </c>
      <c r="M49" s="445">
        <f>IF(L49="",K49,L49)</f>
        <v>0</v>
      </c>
      <c r="N49" s="460">
        <v>0</v>
      </c>
      <c r="P49" s="445">
        <f>IF(O49="",N49,O49)</f>
        <v>0</v>
      </c>
      <c r="Q49" s="487">
        <v>0</v>
      </c>
      <c r="R49" s="456"/>
      <c r="S49" s="445">
        <f>IF(R49="",Q49,R49)</f>
        <v>0</v>
      </c>
      <c r="T49" s="460">
        <v>0</v>
      </c>
      <c r="V49" s="445">
        <f>IF(U49="",T49,U49)</f>
        <v>0</v>
      </c>
      <c r="W49" s="487">
        <v>0</v>
      </c>
      <c r="X49" s="456"/>
      <c r="Y49" s="445">
        <f>IF(X49="",W49,X49)</f>
        <v>0</v>
      </c>
      <c r="Z49" s="460">
        <v>0</v>
      </c>
      <c r="AB49" s="445">
        <f>IF(AA49="",Z49,AA49)</f>
        <v>0</v>
      </c>
      <c r="AC49" s="487">
        <v>0</v>
      </c>
      <c r="AD49" s="456"/>
      <c r="AE49" s="445">
        <f>IF(AD49="",AC49,AD49)</f>
        <v>0</v>
      </c>
      <c r="AF49" s="460">
        <v>0</v>
      </c>
      <c r="AH49" s="445">
        <f>IF(AG49="",AF49,AG49)</f>
        <v>0</v>
      </c>
      <c r="AI49" s="487">
        <v>0</v>
      </c>
      <c r="AJ49" s="456"/>
      <c r="AK49" s="445">
        <f>IF(AJ49="",AI49,AJ49)</f>
        <v>0</v>
      </c>
      <c r="AL49" s="460">
        <v>0</v>
      </c>
      <c r="AN49" s="445">
        <f>IF(AM49="",AL49,AM49)</f>
        <v>0</v>
      </c>
      <c r="AO49" s="487">
        <v>0</v>
      </c>
      <c r="AP49" s="504">
        <v>0</v>
      </c>
      <c r="AQ49" s="445">
        <f>IF(AP49="",AO49,AP49)</f>
        <v>0</v>
      </c>
      <c r="AR49" s="460">
        <v>0</v>
      </c>
      <c r="AT49" s="445">
        <f>IF(AS49="",AR49,AS49)</f>
        <v>0</v>
      </c>
      <c r="AU49" s="802" t="s">
        <v>397</v>
      </c>
      <c r="AV49" s="802"/>
      <c r="AW49" s="802"/>
      <c r="AX49" s="802"/>
      <c r="AY49" s="802"/>
      <c r="AZ49" s="456"/>
      <c r="BA49" s="505"/>
    </row>
    <row r="50" spans="2:53" s="445" customFormat="1" ht="14.1" customHeight="1">
      <c r="B50" s="762"/>
      <c r="C50" s="473"/>
      <c r="D50" s="459">
        <v>2</v>
      </c>
      <c r="E50" s="471">
        <f>_xlfn.PERCENTILE.EXC(_xlfn.ANCHORARRAY(E55),0.2)</f>
        <v>0.18000000000000005</v>
      </c>
      <c r="F50" s="456"/>
      <c r="G50" s="445">
        <f t="shared" ref="G50:G53" si="33">IF(F50="",E50,F50)</f>
        <v>0.18000000000000005</v>
      </c>
      <c r="H50" s="506">
        <f>_xlfn.PERCENTILE.EXC(_xlfn.ANCHORARRAY(H55),0.2)</f>
        <v>0.1</v>
      </c>
      <c r="J50" s="445">
        <f t="shared" ref="J50:J53" si="34">IF(I50="",H50,I50)</f>
        <v>0.1</v>
      </c>
      <c r="K50" s="507">
        <f t="shared" ref="K50:AR50" si="35">_xlfn.PERCENTILE.EXC(_xlfn.ANCHORARRAY(K55),0.2)</f>
        <v>3001</v>
      </c>
      <c r="L50" s="503">
        <v>1800.6000000000004</v>
      </c>
      <c r="M50" s="445">
        <f t="shared" ref="M50:M53" si="36">IF(L50="",K50,L50)</f>
        <v>1800.6000000000004</v>
      </c>
      <c r="N50" s="460">
        <f>_xlfn.PERCENTILE.EXC(_xlfn.ANCHORARRAY(N55),0.2)</f>
        <v>3000</v>
      </c>
      <c r="P50" s="445">
        <f t="shared" ref="P50:P53" si="37">IF(O50="",N50,O50)</f>
        <v>3000</v>
      </c>
      <c r="Q50" s="507">
        <f t="shared" si="35"/>
        <v>123.00000000000001</v>
      </c>
      <c r="R50" s="456"/>
      <c r="S50" s="445">
        <f t="shared" ref="S50:S53" si="38">IF(R50="",Q50,R50)</f>
        <v>123.00000000000001</v>
      </c>
      <c r="T50" s="460">
        <f t="shared" si="35"/>
        <v>164</v>
      </c>
      <c r="V50" s="445">
        <f t="shared" ref="V50:V53" si="39">IF(U50="",T50,U50)</f>
        <v>164</v>
      </c>
      <c r="W50" s="507">
        <f>_xlfn.PERCENTILE.EXC(_xlfn.ANCHORARRAY(W55),0.2)</f>
        <v>4000.0000000000014</v>
      </c>
      <c r="X50" s="456"/>
      <c r="Y50" s="445">
        <f t="shared" ref="Y50:Y53" si="40">IF(X50="",W50,X50)</f>
        <v>4000.0000000000014</v>
      </c>
      <c r="Z50" s="460">
        <f t="shared" si="35"/>
        <v>6000.0000000000009</v>
      </c>
      <c r="AB50" s="445">
        <f t="shared" ref="AB50:AB53" si="41">IF(AA50="",Z50,AA50)</f>
        <v>6000.0000000000009</v>
      </c>
      <c r="AC50" s="507">
        <f t="shared" si="35"/>
        <v>300.00000000000028</v>
      </c>
      <c r="AD50" s="456"/>
      <c r="AE50" s="445">
        <f t="shared" ref="AE50:AE53" si="42">IF(AD50="",AC50,AD50)</f>
        <v>300.00000000000028</v>
      </c>
      <c r="AF50" s="460">
        <f t="shared" si="35"/>
        <v>300.00000000000028</v>
      </c>
      <c r="AH50" s="445">
        <f t="shared" ref="AH50:AH53" si="43">IF(AG50="",AF50,AG50)</f>
        <v>300.00000000000028</v>
      </c>
      <c r="AI50" s="507">
        <f t="shared" si="35"/>
        <v>60.000000000000007</v>
      </c>
      <c r="AJ50" s="456"/>
      <c r="AK50" s="445">
        <f t="shared" ref="AK50:AK53" si="44">IF(AJ50="",AI50,AJ50)</f>
        <v>60.000000000000007</v>
      </c>
      <c r="AL50" s="460">
        <f t="shared" si="35"/>
        <v>60.000000000000007</v>
      </c>
      <c r="AN50" s="445">
        <f t="shared" ref="AN50:AN53" si="45">IF(AM50="",AL50,AM50)</f>
        <v>60.000000000000007</v>
      </c>
      <c r="AO50" s="507">
        <f t="shared" si="35"/>
        <v>2.4000000000000004</v>
      </c>
      <c r="AP50" s="504">
        <v>3</v>
      </c>
      <c r="AQ50" s="445">
        <f t="shared" ref="AQ50:AQ53" si="46">IF(AP50="",AO50,AP50)</f>
        <v>3</v>
      </c>
      <c r="AR50" s="460">
        <f t="shared" si="35"/>
        <v>3430.0000000000005</v>
      </c>
      <c r="AT50" s="445">
        <f t="shared" ref="AT50:AT53" si="47">IF(AS50="",AR50,AS50)</f>
        <v>3430.0000000000005</v>
      </c>
      <c r="AU50" s="802"/>
      <c r="AV50" s="802"/>
      <c r="AW50" s="802"/>
      <c r="AX50" s="802"/>
      <c r="AY50" s="802"/>
      <c r="AZ50" s="456"/>
      <c r="BA50" s="505"/>
    </row>
    <row r="51" spans="2:53" s="445" customFormat="1" ht="14.1" customHeight="1">
      <c r="B51" s="762"/>
      <c r="C51" s="473"/>
      <c r="D51" s="459">
        <v>3</v>
      </c>
      <c r="E51" s="471">
        <f>_xlfn.PERCENTILE.EXC(_xlfn.ANCHORARRAY(E55),0.4)</f>
        <v>8.2200000000000042</v>
      </c>
      <c r="F51" s="456"/>
      <c r="G51" s="445">
        <f t="shared" si="33"/>
        <v>8.2200000000000042</v>
      </c>
      <c r="H51" s="465">
        <f t="shared" ref="H51:AO51" si="48">_xlfn.PERCENTILE.EXC(_xlfn.ANCHORARRAY(H55),0.4)</f>
        <v>5</v>
      </c>
      <c r="J51" s="445">
        <f t="shared" si="34"/>
        <v>5</v>
      </c>
      <c r="K51" s="507">
        <f t="shared" si="48"/>
        <v>7017</v>
      </c>
      <c r="L51" s="503">
        <v>6603.4</v>
      </c>
      <c r="M51" s="445">
        <f t="shared" si="36"/>
        <v>6603.4</v>
      </c>
      <c r="N51" s="460">
        <f t="shared" si="48"/>
        <v>7017</v>
      </c>
      <c r="P51" s="445">
        <f t="shared" si="37"/>
        <v>7017</v>
      </c>
      <c r="Q51" s="507">
        <f t="shared" si="48"/>
        <v>4296</v>
      </c>
      <c r="R51" s="456"/>
      <c r="S51" s="445">
        <f t="shared" si="38"/>
        <v>4296</v>
      </c>
      <c r="T51" s="460">
        <f t="shared" si="48"/>
        <v>3800</v>
      </c>
      <c r="V51" s="445">
        <f t="shared" si="39"/>
        <v>3800</v>
      </c>
      <c r="W51" s="507">
        <f t="shared" si="48"/>
        <v>42240.000000000015</v>
      </c>
      <c r="X51" s="456"/>
      <c r="Y51" s="445">
        <f t="shared" si="40"/>
        <v>42240.000000000015</v>
      </c>
      <c r="Z51" s="460">
        <f t="shared" si="48"/>
        <v>26060.000000000007</v>
      </c>
      <c r="AB51" s="445">
        <f t="shared" si="41"/>
        <v>26060.000000000007</v>
      </c>
      <c r="AC51" s="507">
        <f t="shared" si="48"/>
        <v>1860.0000000000005</v>
      </c>
      <c r="AD51" s="456"/>
      <c r="AE51" s="445">
        <f t="shared" si="42"/>
        <v>1860.0000000000005</v>
      </c>
      <c r="AF51" s="460">
        <f t="shared" si="48"/>
        <v>1860.0000000000005</v>
      </c>
      <c r="AH51" s="445">
        <f t="shared" si="43"/>
        <v>1860.0000000000005</v>
      </c>
      <c r="AI51" s="507">
        <f t="shared" si="48"/>
        <v>276</v>
      </c>
      <c r="AJ51" s="456"/>
      <c r="AK51" s="445">
        <f t="shared" si="44"/>
        <v>276</v>
      </c>
      <c r="AL51" s="460">
        <f t="shared" si="48"/>
        <v>276</v>
      </c>
      <c r="AN51" s="445">
        <f t="shared" si="45"/>
        <v>276</v>
      </c>
      <c r="AO51" s="507">
        <f t="shared" si="48"/>
        <v>9.2000000000000011</v>
      </c>
      <c r="AP51" s="504">
        <v>12.24</v>
      </c>
      <c r="AQ51" s="445">
        <f t="shared" si="46"/>
        <v>12.24</v>
      </c>
      <c r="AR51" s="460">
        <f>_xlfn.PERCENTILE.EXC(_xlfn.ANCHORARRAY(AR55),0.4)</f>
        <v>9000.0000000000018</v>
      </c>
      <c r="AT51" s="445">
        <f t="shared" si="47"/>
        <v>9000.0000000000018</v>
      </c>
      <c r="AU51" s="802"/>
      <c r="AV51" s="802"/>
      <c r="AW51" s="802"/>
      <c r="AX51" s="802"/>
      <c r="AY51" s="802"/>
      <c r="AZ51" s="456"/>
      <c r="BA51" s="505"/>
    </row>
    <row r="52" spans="2:53" s="484" customFormat="1" ht="14.1" customHeight="1">
      <c r="B52" s="762"/>
      <c r="C52" s="473"/>
      <c r="D52" s="473">
        <v>4</v>
      </c>
      <c r="E52" s="477">
        <f>_xlfn.PERCENTILE.EXC(_xlfn.ANCHORARRAY(E55),0.6)</f>
        <v>15.64</v>
      </c>
      <c r="F52" s="508"/>
      <c r="G52" s="445">
        <f t="shared" si="33"/>
        <v>15.64</v>
      </c>
      <c r="H52" s="509">
        <f t="shared" ref="H52:AR52" si="49">_xlfn.PERCENTILE.EXC(_xlfn.ANCHORARRAY(H55),0.6)</f>
        <v>15.76</v>
      </c>
      <c r="J52" s="445">
        <f t="shared" si="34"/>
        <v>15.76</v>
      </c>
      <c r="K52" s="510">
        <f t="shared" si="49"/>
        <v>30000</v>
      </c>
      <c r="L52" s="511">
        <v>139403.39999999997</v>
      </c>
      <c r="M52" s="445">
        <f t="shared" si="36"/>
        <v>139403.39999999997</v>
      </c>
      <c r="N52" s="474">
        <f t="shared" si="49"/>
        <v>30000</v>
      </c>
      <c r="P52" s="445">
        <f t="shared" si="37"/>
        <v>30000</v>
      </c>
      <c r="Q52" s="510">
        <f t="shared" si="49"/>
        <v>20391.999999999996</v>
      </c>
      <c r="R52" s="508"/>
      <c r="S52" s="445">
        <f t="shared" si="38"/>
        <v>20391.999999999996</v>
      </c>
      <c r="T52" s="474">
        <f t="shared" si="49"/>
        <v>33991.999999999956</v>
      </c>
      <c r="V52" s="445">
        <f t="shared" si="39"/>
        <v>33991.999999999956</v>
      </c>
      <c r="W52" s="510">
        <f t="shared" si="49"/>
        <v>54800</v>
      </c>
      <c r="X52" s="508"/>
      <c r="Y52" s="445">
        <f t="shared" si="40"/>
        <v>54800</v>
      </c>
      <c r="Z52" s="474">
        <f t="shared" si="49"/>
        <v>62860</v>
      </c>
      <c r="AB52" s="445">
        <f t="shared" si="41"/>
        <v>62860</v>
      </c>
      <c r="AC52" s="510">
        <f t="shared" si="49"/>
        <v>5279.9999999999982</v>
      </c>
      <c r="AD52" s="508"/>
      <c r="AE52" s="445">
        <f t="shared" si="42"/>
        <v>5279.9999999999982</v>
      </c>
      <c r="AF52" s="474">
        <f t="shared" si="49"/>
        <v>5279.9999999999982</v>
      </c>
      <c r="AH52" s="445">
        <f t="shared" si="43"/>
        <v>5279.9999999999982</v>
      </c>
      <c r="AI52" s="510">
        <f t="shared" si="49"/>
        <v>823.19999999999982</v>
      </c>
      <c r="AJ52" s="508"/>
      <c r="AK52" s="445">
        <f t="shared" si="44"/>
        <v>823.19999999999982</v>
      </c>
      <c r="AL52" s="474">
        <f t="shared" si="49"/>
        <v>863.19999999999993</v>
      </c>
      <c r="AN52" s="445">
        <f t="shared" si="45"/>
        <v>863.19999999999993</v>
      </c>
      <c r="AO52" s="510">
        <f t="shared" si="49"/>
        <v>32.79999999999999</v>
      </c>
      <c r="AP52" s="512">
        <v>32.599999999999987</v>
      </c>
      <c r="AQ52" s="445">
        <f t="shared" si="46"/>
        <v>32.599999999999987</v>
      </c>
      <c r="AR52" s="474">
        <f t="shared" si="49"/>
        <v>54800</v>
      </c>
      <c r="AT52" s="445">
        <f t="shared" si="47"/>
        <v>54800</v>
      </c>
      <c r="AU52" s="802"/>
      <c r="AV52" s="802"/>
      <c r="AW52" s="802"/>
      <c r="AX52" s="802"/>
      <c r="AY52" s="802"/>
      <c r="AZ52" s="508"/>
      <c r="BA52" s="513"/>
    </row>
    <row r="53" spans="2:53" s="445" customFormat="1" ht="14.1" customHeight="1">
      <c r="B53" s="762"/>
      <c r="C53" s="473"/>
      <c r="D53" s="459">
        <v>5</v>
      </c>
      <c r="E53" s="471">
        <f>_xlfn.PERCENTILE.EXC(_xlfn.ANCHORARRAY(E55),0.8)</f>
        <v>65.52000000000001</v>
      </c>
      <c r="F53" s="457"/>
      <c r="G53" s="445">
        <f t="shared" si="33"/>
        <v>65.52000000000001</v>
      </c>
      <c r="H53" s="506">
        <f t="shared" ref="H53:AR53" si="50">_xlfn.PERCENTILE.EXC(_xlfn.ANCHORARRAY(H55),0.8)</f>
        <v>37.5</v>
      </c>
      <c r="I53" s="458"/>
      <c r="J53" s="445">
        <f t="shared" si="34"/>
        <v>37.5</v>
      </c>
      <c r="K53" s="507">
        <f t="shared" si="50"/>
        <v>186150</v>
      </c>
      <c r="L53" s="503">
        <v>589926.00000000035</v>
      </c>
      <c r="M53" s="445">
        <f t="shared" si="36"/>
        <v>589926.00000000035</v>
      </c>
      <c r="N53" s="460">
        <f t="shared" si="50"/>
        <v>459200</v>
      </c>
      <c r="O53" s="458"/>
      <c r="P53" s="445">
        <f t="shared" si="37"/>
        <v>459200</v>
      </c>
      <c r="Q53" s="507">
        <f t="shared" si="50"/>
        <v>391572.00000000029</v>
      </c>
      <c r="R53" s="457"/>
      <c r="S53" s="445">
        <f t="shared" si="38"/>
        <v>391572.00000000029</v>
      </c>
      <c r="T53" s="460">
        <f t="shared" si="50"/>
        <v>984976.00000000081</v>
      </c>
      <c r="U53" s="458"/>
      <c r="V53" s="445">
        <f t="shared" si="39"/>
        <v>984976.00000000081</v>
      </c>
      <c r="W53" s="507">
        <f t="shared" si="50"/>
        <v>230400.00000000015</v>
      </c>
      <c r="X53" s="457"/>
      <c r="Y53" s="445">
        <f t="shared" si="40"/>
        <v>230400.00000000015</v>
      </c>
      <c r="Z53" s="460">
        <f t="shared" si="50"/>
        <v>892400.0000000007</v>
      </c>
      <c r="AA53" s="458"/>
      <c r="AB53" s="445">
        <f t="shared" si="41"/>
        <v>892400.0000000007</v>
      </c>
      <c r="AC53" s="507">
        <f t="shared" si="50"/>
        <v>81920.000000000073</v>
      </c>
      <c r="AD53" s="457"/>
      <c r="AE53" s="445">
        <f t="shared" si="42"/>
        <v>81920.000000000073</v>
      </c>
      <c r="AF53" s="460">
        <f t="shared" si="50"/>
        <v>395440.00000000035</v>
      </c>
      <c r="AG53" s="458"/>
      <c r="AH53" s="445">
        <f t="shared" si="43"/>
        <v>395440.00000000035</v>
      </c>
      <c r="AI53" s="507">
        <f t="shared" si="50"/>
        <v>3539.4000000000019</v>
      </c>
      <c r="AJ53" s="457"/>
      <c r="AK53" s="445">
        <f t="shared" si="44"/>
        <v>3539.4000000000019</v>
      </c>
      <c r="AL53" s="460">
        <f t="shared" si="50"/>
        <v>6957.4000000000051</v>
      </c>
      <c r="AM53" s="458"/>
      <c r="AN53" s="445">
        <f t="shared" si="45"/>
        <v>6957.4000000000051</v>
      </c>
      <c r="AO53" s="507">
        <f t="shared" si="50"/>
        <v>137.40000000000009</v>
      </c>
      <c r="AP53" s="504">
        <v>137.33600000000007</v>
      </c>
      <c r="AQ53" s="445">
        <f t="shared" si="46"/>
        <v>137.33600000000007</v>
      </c>
      <c r="AR53" s="460">
        <f t="shared" si="50"/>
        <v>88701.400000000023</v>
      </c>
      <c r="AS53" s="458"/>
      <c r="AT53" s="445">
        <f t="shared" si="47"/>
        <v>88701.400000000023</v>
      </c>
      <c r="AU53" s="802"/>
      <c r="AV53" s="802"/>
      <c r="AW53" s="802"/>
      <c r="AX53" s="802"/>
      <c r="AY53" s="802"/>
      <c r="AZ53" s="457"/>
      <c r="BA53" s="514"/>
    </row>
    <row r="55" spans="2:53" outlineLevel="1">
      <c r="B55" s="753" t="s">
        <v>350</v>
      </c>
      <c r="C55" s="753"/>
      <c r="D55" s="753"/>
      <c r="E55" s="493" cm="1">
        <f t="array" ref="E55:E67">_xlfn._xlws.SORT(_xlfn.UNIQUE(E$16:E$45))</f>
        <v>0</v>
      </c>
      <c r="F55" s="493"/>
      <c r="G55" s="493"/>
      <c r="H55" s="493" cm="1">
        <f t="array" ref="H55:H73">_xlfn._xlws.SORT(_xlfn.UNIQUE(H$16:H$45))</f>
        <v>0</v>
      </c>
      <c r="I55" s="493"/>
      <c r="J55" s="493"/>
      <c r="K55" s="493" cm="1">
        <f t="array" ref="K55:K63">_xlfn._xlws.SORT(_xlfn.UNIQUE(K$16:K$45))</f>
        <v>0</v>
      </c>
      <c r="L55" s="493"/>
      <c r="M55" s="493"/>
      <c r="N55" s="493" cm="1">
        <f t="array" ref="N55:N63">_xlfn._xlws.SORT(_xlfn.UNIQUE(N$16:N$45))</f>
        <v>0</v>
      </c>
      <c r="O55" s="493"/>
      <c r="P55" s="493"/>
      <c r="Q55" s="493" cm="1">
        <f t="array" ref="Q55:Q61">_xlfn._xlws.SORT(_xlfn.UNIQUE(Q$16:Q$45))</f>
        <v>0</v>
      </c>
      <c r="R55" s="493"/>
      <c r="S55" s="493"/>
      <c r="T55" s="493" cm="1">
        <f t="array" ref="T55:T62">_xlfn._xlws.SORT(_xlfn.UNIQUE(T$16:T$45))</f>
        <v>0</v>
      </c>
      <c r="U55" s="493"/>
      <c r="V55" s="493"/>
      <c r="W55" s="493" cm="1">
        <f t="array" ref="W55:W60">_xlfn._xlws.SORT(_xlfn.UNIQUE(W$16:W$45))</f>
        <v>0</v>
      </c>
      <c r="X55" s="493"/>
      <c r="Y55" s="493"/>
      <c r="Z55" s="493" cm="1">
        <f t="array" ref="Z55:Z61">_xlfn._xlws.SORT(_xlfn.UNIQUE(Z$16:Z$45))</f>
        <v>0</v>
      </c>
      <c r="AA55" s="493"/>
      <c r="AB55" s="493"/>
      <c r="AC55" s="493" cm="1">
        <f t="array" ref="AC55:AC59">_xlfn._xlws.SORT(_xlfn.UNIQUE(AC$16:AC$45))</f>
        <v>0</v>
      </c>
      <c r="AD55" s="493"/>
      <c r="AE55" s="493"/>
      <c r="AF55" s="493" cm="1">
        <f t="array" ref="AF55:AF59">_xlfn._xlws.SORT(_xlfn.UNIQUE(AF$16:AF$45))</f>
        <v>0</v>
      </c>
      <c r="AG55" s="493"/>
      <c r="AH55" s="493"/>
      <c r="AI55" s="493" cm="1">
        <f t="array" ref="AI55:AI61">_xlfn._xlws.SORT(_xlfn.UNIQUE(AI$16:AI$45))</f>
        <v>0</v>
      </c>
      <c r="AJ55" s="493"/>
      <c r="AK55" s="493"/>
      <c r="AL55" s="493" cm="1">
        <f t="array" ref="AL55:AL61">_xlfn._xlws.SORT(_xlfn.UNIQUE(AL$16:AL$45))</f>
        <v>0</v>
      </c>
      <c r="AM55" s="493"/>
      <c r="AN55" s="493"/>
      <c r="AO55" s="493" cm="1">
        <f t="array" ref="AO55:AO62">_xlfn._xlws.SORT(_xlfn.UNIQUE(AO$16:AO$45))</f>
        <v>0</v>
      </c>
      <c r="AP55" s="493"/>
      <c r="AQ55" s="493"/>
      <c r="AR55" s="493" cm="1">
        <f t="array" ref="AR55:AR64">_xlfn._xlws.SORT(_xlfn.UNIQUE(AR$16:AR$45))</f>
        <v>0</v>
      </c>
      <c r="AS55" s="493"/>
      <c r="AT55" s="493"/>
      <c r="AU55" s="480"/>
      <c r="AV55" s="484"/>
      <c r="AW55" s="484"/>
      <c r="AX55" s="484"/>
      <c r="AY55" s="484"/>
    </row>
    <row r="56" spans="2:53" outlineLevel="1">
      <c r="B56" s="753"/>
      <c r="C56" s="753"/>
      <c r="D56" s="753"/>
      <c r="E56" s="493">
        <v>0.1</v>
      </c>
      <c r="F56" s="493"/>
      <c r="G56" s="493"/>
      <c r="H56" s="493">
        <v>4.8000000000000001E-2</v>
      </c>
      <c r="I56" s="493"/>
      <c r="J56" s="493"/>
      <c r="K56" s="493">
        <v>3001</v>
      </c>
      <c r="L56" s="493"/>
      <c r="M56" s="493"/>
      <c r="N56" s="493">
        <v>3000</v>
      </c>
      <c r="O56" s="493"/>
      <c r="P56" s="493"/>
      <c r="Q56" s="493">
        <v>205</v>
      </c>
      <c r="R56" s="493"/>
      <c r="S56" s="493"/>
      <c r="T56" s="493">
        <v>205</v>
      </c>
      <c r="U56" s="493"/>
      <c r="V56" s="493"/>
      <c r="W56" s="493">
        <v>10000</v>
      </c>
      <c r="X56" s="493"/>
      <c r="Y56" s="493"/>
      <c r="Z56" s="493">
        <v>10000</v>
      </c>
      <c r="AA56" s="493"/>
      <c r="AB56" s="493"/>
      <c r="AC56" s="493">
        <v>1500</v>
      </c>
      <c r="AD56" s="493"/>
      <c r="AE56" s="493"/>
      <c r="AF56" s="493">
        <v>1500</v>
      </c>
      <c r="AG56" s="493"/>
      <c r="AH56" s="493"/>
      <c r="AI56" s="493">
        <v>100</v>
      </c>
      <c r="AJ56" s="493"/>
      <c r="AK56" s="493"/>
      <c r="AL56" s="493">
        <v>100</v>
      </c>
      <c r="AM56" s="493"/>
      <c r="AN56" s="493"/>
      <c r="AO56" s="493">
        <v>3</v>
      </c>
      <c r="AP56" s="493"/>
      <c r="AQ56" s="493"/>
      <c r="AR56" s="493">
        <v>3000</v>
      </c>
      <c r="AS56" s="493"/>
      <c r="AT56" s="493"/>
      <c r="AU56" s="480"/>
      <c r="AV56" s="484"/>
      <c r="AW56" s="484"/>
      <c r="AX56" s="484"/>
      <c r="AY56" s="484"/>
    </row>
    <row r="57" spans="2:53" outlineLevel="1">
      <c r="E57" s="493">
        <v>0.2</v>
      </c>
      <c r="F57" s="493"/>
      <c r="G57" s="493"/>
      <c r="H57" s="493">
        <v>0.05</v>
      </c>
      <c r="I57" s="493"/>
      <c r="J57" s="493"/>
      <c r="K57" s="493">
        <v>6500</v>
      </c>
      <c r="L57" s="493"/>
      <c r="M57" s="493"/>
      <c r="N57" s="493">
        <v>6700</v>
      </c>
      <c r="O57" s="493"/>
      <c r="P57" s="493"/>
      <c r="Q57" s="493">
        <v>4120</v>
      </c>
      <c r="R57" s="493"/>
      <c r="S57" s="493"/>
      <c r="T57" s="493">
        <v>2000</v>
      </c>
      <c r="U57" s="493"/>
      <c r="V57" s="493"/>
      <c r="W57" s="493">
        <v>50300</v>
      </c>
      <c r="X57" s="493"/>
      <c r="Y57" s="493"/>
      <c r="Z57" s="493">
        <v>20000</v>
      </c>
      <c r="AA57" s="493"/>
      <c r="AB57" s="493"/>
      <c r="AC57" s="493">
        <v>2400</v>
      </c>
      <c r="AD57" s="493"/>
      <c r="AE57" s="493"/>
      <c r="AF57" s="493">
        <v>2400</v>
      </c>
      <c r="AG57" s="493"/>
      <c r="AH57" s="493"/>
      <c r="AI57" s="493">
        <v>260</v>
      </c>
      <c r="AJ57" s="493"/>
      <c r="AK57" s="493"/>
      <c r="AL57" s="493">
        <v>260</v>
      </c>
      <c r="AM57" s="493"/>
      <c r="AN57" s="493"/>
      <c r="AO57" s="493">
        <v>5</v>
      </c>
      <c r="AP57" s="493"/>
      <c r="AQ57" s="493"/>
      <c r="AR57" s="493">
        <v>5150</v>
      </c>
      <c r="AS57" s="493"/>
      <c r="AT57" s="493"/>
      <c r="AU57" s="480"/>
      <c r="AV57" s="484"/>
      <c r="AW57" s="484"/>
      <c r="AX57" s="484"/>
      <c r="AY57" s="484"/>
    </row>
    <row r="58" spans="2:53" outlineLevel="1">
      <c r="E58" s="493">
        <v>2.2000000000000002</v>
      </c>
      <c r="F58" s="493"/>
      <c r="G58" s="493"/>
      <c r="H58" s="493">
        <v>0.1</v>
      </c>
      <c r="I58" s="493"/>
      <c r="J58" s="493"/>
      <c r="K58" s="493">
        <v>7017</v>
      </c>
      <c r="L58" s="493"/>
      <c r="M58" s="493"/>
      <c r="N58" s="493">
        <v>7017</v>
      </c>
      <c r="O58" s="493"/>
      <c r="P58" s="493"/>
      <c r="Q58" s="493">
        <v>5000</v>
      </c>
      <c r="R58" s="493"/>
      <c r="S58" s="493"/>
      <c r="T58" s="493">
        <v>5000</v>
      </c>
      <c r="U58" s="493"/>
      <c r="V58" s="493"/>
      <c r="W58" s="493">
        <v>52000</v>
      </c>
      <c r="X58" s="493"/>
      <c r="Y58" s="493"/>
      <c r="Z58" s="493">
        <v>50300</v>
      </c>
      <c r="AA58" s="493"/>
      <c r="AB58" s="493"/>
      <c r="AC58" s="493">
        <v>7200</v>
      </c>
      <c r="AD58" s="493"/>
      <c r="AE58" s="493"/>
      <c r="AF58" s="493">
        <v>7200</v>
      </c>
      <c r="AG58" s="493"/>
      <c r="AH58" s="493"/>
      <c r="AI58" s="493">
        <v>340</v>
      </c>
      <c r="AJ58" s="493"/>
      <c r="AK58" s="493"/>
      <c r="AL58" s="493">
        <v>340</v>
      </c>
      <c r="AM58" s="493"/>
      <c r="AN58" s="493"/>
      <c r="AO58" s="493">
        <v>12</v>
      </c>
      <c r="AP58" s="493"/>
      <c r="AQ58" s="493"/>
      <c r="AR58" s="493">
        <v>7000</v>
      </c>
      <c r="AS58" s="493"/>
      <c r="AT58" s="493"/>
      <c r="AU58" s="480"/>
      <c r="AV58" s="484"/>
      <c r="AW58" s="484"/>
      <c r="AX58" s="484"/>
      <c r="AY58" s="484"/>
    </row>
    <row r="59" spans="2:53" outlineLevel="1">
      <c r="E59" s="493">
        <v>2.4</v>
      </c>
      <c r="F59" s="493"/>
      <c r="G59" s="493"/>
      <c r="H59" s="493">
        <v>0.2</v>
      </c>
      <c r="I59" s="493"/>
      <c r="J59" s="493"/>
      <c r="K59" s="493">
        <v>17000</v>
      </c>
      <c r="L59" s="493"/>
      <c r="M59" s="493"/>
      <c r="N59" s="493">
        <v>17000</v>
      </c>
      <c r="O59" s="493"/>
      <c r="P59" s="493"/>
      <c r="Q59" s="493">
        <v>24240</v>
      </c>
      <c r="R59" s="493"/>
      <c r="S59" s="493"/>
      <c r="T59" s="493">
        <v>5120</v>
      </c>
      <c r="U59" s="493"/>
      <c r="V59" s="493"/>
      <c r="W59" s="493">
        <v>66000</v>
      </c>
      <c r="X59" s="493"/>
      <c r="Y59" s="493"/>
      <c r="Z59" s="493">
        <v>66000</v>
      </c>
      <c r="AA59" s="493"/>
      <c r="AB59" s="493"/>
      <c r="AC59" s="493">
        <v>100600</v>
      </c>
      <c r="AD59" s="493"/>
      <c r="AE59" s="493"/>
      <c r="AF59" s="493">
        <v>492500</v>
      </c>
      <c r="AG59" s="493"/>
      <c r="AH59" s="493"/>
      <c r="AI59" s="493">
        <v>944</v>
      </c>
      <c r="AJ59" s="493"/>
      <c r="AK59" s="493"/>
      <c r="AL59" s="493">
        <v>994</v>
      </c>
      <c r="AM59" s="493"/>
      <c r="AN59" s="493"/>
      <c r="AO59" s="493">
        <v>24</v>
      </c>
      <c r="AP59" s="493"/>
      <c r="AQ59" s="493"/>
      <c r="AR59" s="493">
        <v>12000</v>
      </c>
      <c r="AS59" s="493"/>
      <c r="AT59" s="493"/>
      <c r="AU59" s="480"/>
      <c r="AV59" s="484"/>
      <c r="AW59" s="484"/>
      <c r="AX59" s="484"/>
      <c r="AY59" s="484"/>
    </row>
    <row r="60" spans="2:53" outlineLevel="1">
      <c r="E60" s="493">
        <v>12.1</v>
      </c>
      <c r="F60" s="493"/>
      <c r="G60" s="493"/>
      <c r="H60" s="493">
        <v>1.9</v>
      </c>
      <c r="I60" s="493"/>
      <c r="J60" s="493"/>
      <c r="K60" s="493">
        <v>30000</v>
      </c>
      <c r="L60" s="493"/>
      <c r="M60" s="493"/>
      <c r="N60" s="493">
        <v>30000</v>
      </c>
      <c r="O60" s="493"/>
      <c r="P60" s="493"/>
      <c r="Q60" s="493">
        <v>77300</v>
      </c>
      <c r="R60" s="493"/>
      <c r="S60" s="493"/>
      <c r="T60" s="493">
        <v>77300</v>
      </c>
      <c r="U60" s="493"/>
      <c r="V60" s="493"/>
      <c r="W60" s="493">
        <v>340000</v>
      </c>
      <c r="X60" s="493"/>
      <c r="Y60" s="493"/>
      <c r="Z60" s="493">
        <v>72000</v>
      </c>
      <c r="AA60" s="493"/>
      <c r="AB60" s="493"/>
      <c r="AC60" s="493"/>
      <c r="AD60" s="493"/>
      <c r="AE60" s="493"/>
      <c r="AF60" s="493"/>
      <c r="AG60" s="493"/>
      <c r="AH60" s="493"/>
      <c r="AI60" s="493">
        <v>1295</v>
      </c>
      <c r="AJ60" s="493"/>
      <c r="AK60" s="493"/>
      <c r="AL60" s="493">
        <v>1295</v>
      </c>
      <c r="AM60" s="493"/>
      <c r="AN60" s="493"/>
      <c r="AO60" s="493">
        <v>46</v>
      </c>
      <c r="AP60" s="493"/>
      <c r="AQ60" s="493"/>
      <c r="AR60" s="493">
        <v>50000</v>
      </c>
      <c r="AS60" s="493"/>
      <c r="AT60" s="493"/>
      <c r="AU60" s="480"/>
      <c r="AV60" s="484"/>
      <c r="AW60" s="484"/>
      <c r="AX60" s="484"/>
      <c r="AY60" s="484"/>
    </row>
    <row r="61" spans="2:53" outlineLevel="1">
      <c r="E61" s="493">
        <v>15.1</v>
      </c>
      <c r="F61" s="493"/>
      <c r="G61" s="493"/>
      <c r="H61" s="493">
        <v>2.2000000000000002</v>
      </c>
      <c r="I61" s="493"/>
      <c r="J61" s="493"/>
      <c r="K61" s="493">
        <v>172500</v>
      </c>
      <c r="L61" s="493"/>
      <c r="M61" s="493"/>
      <c r="N61" s="493">
        <v>186150</v>
      </c>
      <c r="O61" s="493"/>
      <c r="P61" s="493"/>
      <c r="Q61" s="493">
        <v>862980</v>
      </c>
      <c r="R61" s="493"/>
      <c r="S61" s="493"/>
      <c r="T61" s="493">
        <v>82300</v>
      </c>
      <c r="U61" s="493"/>
      <c r="V61" s="493"/>
      <c r="W61" s="493"/>
      <c r="X61" s="493"/>
      <c r="Y61" s="493"/>
      <c r="Z61" s="493">
        <v>2123000</v>
      </c>
      <c r="AA61" s="493"/>
      <c r="AB61" s="493"/>
      <c r="AC61" s="493"/>
      <c r="AD61" s="493"/>
      <c r="AE61" s="493"/>
      <c r="AF61" s="493"/>
      <c r="AG61" s="493"/>
      <c r="AH61" s="493"/>
      <c r="AI61" s="493">
        <v>6906</v>
      </c>
      <c r="AJ61" s="493"/>
      <c r="AK61" s="493"/>
      <c r="AL61" s="493">
        <v>15451</v>
      </c>
      <c r="AM61" s="493"/>
      <c r="AN61" s="493"/>
      <c r="AO61" s="493">
        <v>50</v>
      </c>
      <c r="AP61" s="493"/>
      <c r="AQ61" s="493"/>
      <c r="AR61" s="493">
        <v>58000</v>
      </c>
      <c r="AS61" s="493"/>
      <c r="AT61" s="493"/>
      <c r="AU61" s="480"/>
      <c r="AV61" s="484"/>
      <c r="AW61" s="484"/>
      <c r="AX61" s="484"/>
      <c r="AY61" s="484"/>
    </row>
    <row r="62" spans="2:53" outlineLevel="1">
      <c r="E62" s="493">
        <v>15.4</v>
      </c>
      <c r="F62" s="493"/>
      <c r="G62" s="493"/>
      <c r="H62" s="493">
        <v>5</v>
      </c>
      <c r="I62" s="493"/>
      <c r="J62" s="493"/>
      <c r="K62" s="493">
        <v>186150</v>
      </c>
      <c r="L62" s="493"/>
      <c r="M62" s="493"/>
      <c r="N62" s="493">
        <v>459200</v>
      </c>
      <c r="O62" s="493"/>
      <c r="P62" s="493"/>
      <c r="Q62" s="493"/>
      <c r="R62" s="493"/>
      <c r="S62" s="493"/>
      <c r="T62" s="493">
        <v>4595680</v>
      </c>
      <c r="U62" s="493"/>
      <c r="V62" s="493"/>
      <c r="W62" s="493"/>
      <c r="X62" s="493"/>
      <c r="Y62" s="493"/>
      <c r="Z62" s="493"/>
      <c r="AA62" s="493"/>
      <c r="AB62" s="493"/>
      <c r="AC62" s="493"/>
      <c r="AD62" s="493"/>
      <c r="AE62" s="493"/>
      <c r="AF62" s="493"/>
      <c r="AG62" s="493"/>
      <c r="AH62" s="493"/>
      <c r="AI62" s="493"/>
      <c r="AJ62" s="493"/>
      <c r="AK62" s="493"/>
      <c r="AL62" s="493"/>
      <c r="AM62" s="493"/>
      <c r="AN62" s="493"/>
      <c r="AO62" s="493">
        <v>487</v>
      </c>
      <c r="AP62" s="493"/>
      <c r="AQ62" s="493"/>
      <c r="AR62" s="493">
        <v>61507</v>
      </c>
      <c r="AS62" s="493"/>
      <c r="AT62" s="493"/>
      <c r="AU62" s="480"/>
      <c r="AV62" s="484"/>
      <c r="AW62" s="484"/>
      <c r="AX62" s="484"/>
      <c r="AY62" s="484"/>
    </row>
    <row r="63" spans="2:53" outlineLevel="1">
      <c r="E63" s="493">
        <v>16</v>
      </c>
      <c r="F63" s="493"/>
      <c r="G63" s="493"/>
      <c r="H63" s="493">
        <v>6</v>
      </c>
      <c r="I63" s="493"/>
      <c r="J63" s="493"/>
      <c r="K63" s="493">
        <v>1195590</v>
      </c>
      <c r="L63" s="493"/>
      <c r="M63" s="493"/>
      <c r="N63" s="493">
        <v>4975600</v>
      </c>
      <c r="O63" s="493"/>
      <c r="P63" s="493"/>
      <c r="Q63" s="493"/>
      <c r="R63" s="493"/>
      <c r="S63" s="493"/>
      <c r="T63" s="493"/>
      <c r="U63" s="493"/>
      <c r="V63" s="493"/>
      <c r="W63" s="493"/>
      <c r="X63" s="493"/>
      <c r="Y63" s="493"/>
      <c r="Z63" s="493"/>
      <c r="AA63" s="493"/>
      <c r="AB63" s="493"/>
      <c r="AC63" s="493"/>
      <c r="AD63" s="493"/>
      <c r="AE63" s="493"/>
      <c r="AF63" s="493"/>
      <c r="AG63" s="493"/>
      <c r="AH63" s="493"/>
      <c r="AI63" s="493"/>
      <c r="AJ63" s="493"/>
      <c r="AK63" s="493"/>
      <c r="AL63" s="493"/>
      <c r="AM63" s="493"/>
      <c r="AN63" s="493"/>
      <c r="AO63" s="493"/>
      <c r="AP63" s="493"/>
      <c r="AQ63" s="493"/>
      <c r="AR63" s="493">
        <v>95500</v>
      </c>
      <c r="AS63" s="493"/>
      <c r="AT63" s="493"/>
      <c r="AU63" s="480"/>
      <c r="AV63" s="484"/>
      <c r="AW63" s="484"/>
      <c r="AX63" s="484"/>
      <c r="AY63" s="484"/>
    </row>
    <row r="64" spans="2:53" outlineLevel="1">
      <c r="E64" s="493">
        <v>37.5</v>
      </c>
      <c r="F64" s="493"/>
      <c r="G64" s="493"/>
      <c r="H64" s="493">
        <v>8.5510000000000002</v>
      </c>
      <c r="I64" s="493"/>
      <c r="J64" s="493"/>
      <c r="K64" s="493"/>
      <c r="L64" s="493"/>
      <c r="M64" s="493"/>
      <c r="N64" s="493"/>
      <c r="O64" s="493"/>
      <c r="P64" s="493"/>
      <c r="Q64" s="493"/>
      <c r="R64" s="493"/>
      <c r="S64" s="493"/>
      <c r="T64" s="493"/>
      <c r="U64" s="493"/>
      <c r="V64" s="493"/>
      <c r="W64" s="493"/>
      <c r="X64" s="493"/>
      <c r="Y64" s="493"/>
      <c r="Z64" s="493"/>
      <c r="AA64" s="493"/>
      <c r="AB64" s="493"/>
      <c r="AC64" s="493"/>
      <c r="AD64" s="493"/>
      <c r="AE64" s="493"/>
      <c r="AF64" s="493"/>
      <c r="AG64" s="493"/>
      <c r="AH64" s="493"/>
      <c r="AI64" s="493"/>
      <c r="AJ64" s="493"/>
      <c r="AK64" s="493"/>
      <c r="AL64" s="493"/>
      <c r="AM64" s="493"/>
      <c r="AN64" s="493"/>
      <c r="AO64" s="493"/>
      <c r="AP64" s="493"/>
      <c r="AQ64" s="493"/>
      <c r="AR64" s="493">
        <v>1894580</v>
      </c>
      <c r="AS64" s="493"/>
      <c r="AT64" s="493"/>
      <c r="AU64" s="480"/>
      <c r="AV64" s="484"/>
      <c r="AW64" s="484"/>
      <c r="AX64" s="484"/>
      <c r="AY64" s="484"/>
    </row>
    <row r="65" spans="5:51" outlineLevel="1">
      <c r="E65" s="493">
        <v>64.400000000000006</v>
      </c>
      <c r="F65" s="493"/>
      <c r="G65" s="493"/>
      <c r="H65" s="493">
        <v>8.75</v>
      </c>
      <c r="I65" s="493"/>
      <c r="J65" s="493"/>
      <c r="K65" s="493"/>
      <c r="L65" s="493"/>
      <c r="M65" s="493"/>
      <c r="N65" s="493"/>
      <c r="O65" s="493"/>
      <c r="P65" s="493"/>
      <c r="Q65" s="493"/>
      <c r="R65" s="493"/>
      <c r="S65" s="493"/>
      <c r="T65" s="493"/>
      <c r="U65" s="493"/>
      <c r="V65" s="493"/>
      <c r="W65" s="493"/>
      <c r="X65" s="493"/>
      <c r="Y65" s="493"/>
      <c r="Z65" s="493"/>
      <c r="AA65" s="493"/>
      <c r="AB65" s="493"/>
      <c r="AC65" s="493"/>
      <c r="AD65" s="493"/>
      <c r="AE65" s="493"/>
      <c r="AF65" s="493"/>
      <c r="AG65" s="493"/>
      <c r="AH65" s="493"/>
      <c r="AI65" s="493"/>
      <c r="AJ65" s="493"/>
      <c r="AK65" s="493"/>
      <c r="AL65" s="493"/>
      <c r="AM65" s="493"/>
      <c r="AN65" s="493"/>
      <c r="AO65" s="493"/>
      <c r="AP65" s="493"/>
      <c r="AQ65" s="493"/>
      <c r="AR65" s="493"/>
      <c r="AS65" s="493"/>
      <c r="AT65" s="493"/>
      <c r="AU65" s="480"/>
      <c r="AV65" s="484"/>
      <c r="AW65" s="484"/>
      <c r="AX65" s="484"/>
      <c r="AY65" s="484"/>
    </row>
    <row r="66" spans="5:51" outlineLevel="1">
      <c r="E66" s="493">
        <v>70</v>
      </c>
      <c r="F66" s="493"/>
      <c r="G66" s="493"/>
      <c r="H66" s="493">
        <v>15.76</v>
      </c>
      <c r="I66" s="493"/>
      <c r="J66" s="493"/>
      <c r="K66" s="493"/>
      <c r="L66" s="493"/>
      <c r="M66" s="493"/>
      <c r="N66" s="493"/>
      <c r="O66" s="493"/>
      <c r="P66" s="493"/>
      <c r="Q66" s="493"/>
      <c r="R66" s="493"/>
      <c r="S66" s="493"/>
      <c r="T66" s="493"/>
      <c r="U66" s="493"/>
      <c r="V66" s="493"/>
      <c r="W66" s="493"/>
      <c r="X66" s="493"/>
      <c r="Y66" s="493"/>
      <c r="Z66" s="493"/>
      <c r="AA66" s="493"/>
      <c r="AB66" s="493"/>
      <c r="AC66" s="493"/>
      <c r="AD66" s="493"/>
      <c r="AE66" s="493"/>
      <c r="AF66" s="493"/>
      <c r="AG66" s="493"/>
      <c r="AH66" s="493"/>
      <c r="AI66" s="493"/>
      <c r="AJ66" s="493"/>
      <c r="AK66" s="493"/>
      <c r="AL66" s="493"/>
      <c r="AM66" s="493"/>
      <c r="AN66" s="493"/>
      <c r="AO66" s="493"/>
      <c r="AP66" s="493"/>
      <c r="AQ66" s="493"/>
      <c r="AR66" s="493"/>
      <c r="AS66" s="493"/>
      <c r="AT66" s="493"/>
      <c r="AU66" s="480"/>
      <c r="AV66" s="484"/>
      <c r="AW66" s="484"/>
      <c r="AX66" s="484"/>
      <c r="AY66" s="484"/>
    </row>
    <row r="67" spans="5:51" outlineLevel="1">
      <c r="E67" s="493">
        <v>861.6</v>
      </c>
      <c r="F67" s="493"/>
      <c r="G67" s="493"/>
      <c r="H67" s="493">
        <v>16.350000000000001</v>
      </c>
      <c r="I67" s="493"/>
      <c r="J67" s="493"/>
      <c r="K67" s="493"/>
      <c r="L67" s="493"/>
      <c r="M67" s="493"/>
      <c r="N67" s="493"/>
      <c r="O67" s="493"/>
      <c r="P67" s="493"/>
      <c r="Q67" s="493"/>
      <c r="R67" s="493"/>
      <c r="S67" s="493"/>
      <c r="T67" s="493"/>
      <c r="U67" s="493"/>
      <c r="V67" s="493"/>
      <c r="W67" s="493"/>
      <c r="X67" s="493"/>
      <c r="Y67" s="493"/>
      <c r="Z67" s="493"/>
      <c r="AA67" s="493"/>
      <c r="AB67" s="493"/>
      <c r="AC67" s="493"/>
      <c r="AD67" s="493"/>
      <c r="AE67" s="493"/>
      <c r="AF67" s="493"/>
      <c r="AG67" s="493"/>
      <c r="AH67" s="493"/>
      <c r="AI67" s="493"/>
      <c r="AJ67" s="493"/>
      <c r="AK67" s="493"/>
      <c r="AL67" s="493"/>
      <c r="AM67" s="493"/>
      <c r="AN67" s="493"/>
      <c r="AO67" s="493"/>
      <c r="AP67" s="493"/>
      <c r="AQ67" s="493"/>
      <c r="AR67" s="493"/>
      <c r="AS67" s="493"/>
      <c r="AT67" s="493"/>
      <c r="AU67" s="480"/>
      <c r="AV67" s="484"/>
      <c r="AW67" s="484"/>
      <c r="AX67" s="484"/>
      <c r="AY67" s="484"/>
    </row>
    <row r="68" spans="5:51" outlineLevel="1">
      <c r="E68" s="493"/>
      <c r="F68" s="493"/>
      <c r="G68" s="493"/>
      <c r="H68" s="493">
        <v>23.425000000000001</v>
      </c>
      <c r="I68" s="493"/>
      <c r="J68" s="493"/>
      <c r="K68" s="493"/>
      <c r="L68" s="493"/>
      <c r="M68" s="493"/>
      <c r="N68" s="493"/>
      <c r="O68" s="493"/>
      <c r="P68" s="493"/>
      <c r="Q68" s="493"/>
      <c r="R68" s="493"/>
      <c r="S68" s="493"/>
      <c r="T68" s="493"/>
      <c r="U68" s="493"/>
      <c r="V68" s="493"/>
      <c r="W68" s="493"/>
      <c r="X68" s="493"/>
      <c r="Y68" s="493"/>
      <c r="Z68" s="493"/>
      <c r="AA68" s="493"/>
      <c r="AB68" s="493"/>
      <c r="AC68" s="493"/>
      <c r="AD68" s="493"/>
      <c r="AE68" s="493"/>
      <c r="AF68" s="493"/>
      <c r="AG68" s="493"/>
      <c r="AH68" s="493"/>
      <c r="AI68" s="493"/>
      <c r="AJ68" s="493"/>
      <c r="AK68" s="493"/>
      <c r="AL68" s="493"/>
      <c r="AM68" s="493"/>
      <c r="AN68" s="493"/>
      <c r="AO68" s="493"/>
      <c r="AP68" s="493"/>
      <c r="AQ68" s="493"/>
      <c r="AR68" s="493"/>
      <c r="AS68" s="493"/>
      <c r="AT68" s="493"/>
      <c r="AU68" s="493"/>
    </row>
    <row r="69" spans="5:51" outlineLevel="1">
      <c r="E69" s="493"/>
      <c r="F69" s="493"/>
      <c r="G69" s="493"/>
      <c r="H69" s="493">
        <v>29.091999999999999</v>
      </c>
      <c r="I69" s="493"/>
      <c r="J69" s="493"/>
      <c r="K69" s="493"/>
      <c r="L69" s="493"/>
      <c r="M69" s="493"/>
      <c r="N69" s="493"/>
      <c r="O69" s="493"/>
      <c r="P69" s="493"/>
      <c r="Q69" s="493"/>
      <c r="R69" s="493"/>
      <c r="S69" s="493"/>
      <c r="T69" s="493"/>
      <c r="U69" s="493"/>
      <c r="V69" s="493"/>
      <c r="W69" s="493"/>
      <c r="X69" s="493"/>
      <c r="Y69" s="493"/>
      <c r="Z69" s="493"/>
      <c r="AA69" s="493"/>
      <c r="AB69" s="493"/>
      <c r="AC69" s="493"/>
      <c r="AD69" s="493"/>
      <c r="AE69" s="493"/>
      <c r="AF69" s="493"/>
      <c r="AG69" s="493"/>
      <c r="AH69" s="493"/>
      <c r="AI69" s="493"/>
      <c r="AJ69" s="493"/>
      <c r="AK69" s="493"/>
      <c r="AL69" s="493"/>
      <c r="AM69" s="493"/>
      <c r="AN69" s="493"/>
      <c r="AO69" s="493"/>
      <c r="AP69" s="493"/>
      <c r="AQ69" s="493"/>
      <c r="AR69" s="493"/>
      <c r="AS69" s="493"/>
      <c r="AT69" s="493"/>
      <c r="AU69" s="493"/>
    </row>
    <row r="70" spans="5:51" outlineLevel="1">
      <c r="E70" s="493"/>
      <c r="F70" s="493"/>
      <c r="G70" s="493"/>
      <c r="H70" s="493">
        <v>37.5</v>
      </c>
      <c r="I70" s="493"/>
      <c r="J70" s="493"/>
      <c r="K70" s="493"/>
      <c r="L70" s="493"/>
      <c r="M70" s="493"/>
      <c r="N70" s="493"/>
      <c r="O70" s="493"/>
      <c r="P70" s="493"/>
      <c r="Q70" s="493"/>
      <c r="R70" s="493"/>
      <c r="S70" s="493"/>
      <c r="T70" s="493"/>
      <c r="U70" s="493"/>
      <c r="V70" s="493"/>
      <c r="W70" s="493"/>
      <c r="X70" s="493"/>
      <c r="Y70" s="493"/>
      <c r="Z70" s="493"/>
      <c r="AA70" s="493"/>
      <c r="AB70" s="493"/>
      <c r="AC70" s="493"/>
      <c r="AD70" s="493"/>
      <c r="AE70" s="493"/>
      <c r="AF70" s="493"/>
      <c r="AG70" s="493"/>
      <c r="AH70" s="493"/>
      <c r="AI70" s="493"/>
      <c r="AJ70" s="493"/>
      <c r="AK70" s="493"/>
      <c r="AL70" s="493"/>
      <c r="AM70" s="493"/>
      <c r="AN70" s="493"/>
      <c r="AO70" s="493"/>
      <c r="AP70" s="493"/>
      <c r="AQ70" s="493"/>
      <c r="AR70" s="493"/>
      <c r="AS70" s="493"/>
      <c r="AT70" s="493"/>
      <c r="AU70" s="493"/>
    </row>
    <row r="71" spans="5:51" outlineLevel="1">
      <c r="E71" s="493"/>
      <c r="F71" s="493"/>
      <c r="G71" s="493"/>
      <c r="H71" s="493">
        <v>65</v>
      </c>
      <c r="I71" s="493"/>
      <c r="J71" s="493"/>
      <c r="K71" s="493"/>
      <c r="L71" s="493"/>
      <c r="M71" s="493"/>
      <c r="N71" s="493"/>
      <c r="O71" s="493"/>
      <c r="P71" s="493"/>
      <c r="Q71" s="493"/>
      <c r="R71" s="493"/>
      <c r="S71" s="493"/>
      <c r="T71" s="493"/>
      <c r="U71" s="493"/>
      <c r="V71" s="493"/>
      <c r="W71" s="493"/>
      <c r="X71" s="493"/>
      <c r="Y71" s="493"/>
      <c r="Z71" s="493"/>
      <c r="AA71" s="493"/>
      <c r="AB71" s="493"/>
      <c r="AC71" s="493"/>
      <c r="AD71" s="493"/>
      <c r="AE71" s="493"/>
      <c r="AF71" s="493"/>
      <c r="AG71" s="493"/>
      <c r="AH71" s="493"/>
      <c r="AI71" s="493"/>
      <c r="AJ71" s="493"/>
      <c r="AK71" s="493"/>
      <c r="AL71" s="493"/>
      <c r="AM71" s="493"/>
      <c r="AN71" s="493"/>
      <c r="AO71" s="493"/>
      <c r="AP71" s="493"/>
      <c r="AQ71" s="493"/>
      <c r="AR71" s="493"/>
      <c r="AS71" s="493"/>
      <c r="AT71" s="493"/>
      <c r="AU71" s="493"/>
    </row>
    <row r="72" spans="5:51" outlineLevel="1">
      <c r="E72" s="493"/>
      <c r="F72" s="493"/>
      <c r="G72" s="493"/>
      <c r="H72" s="493">
        <v>92.334999999999994</v>
      </c>
      <c r="I72" s="493"/>
      <c r="J72" s="493"/>
      <c r="K72" s="493"/>
      <c r="L72" s="493"/>
      <c r="M72" s="493"/>
      <c r="N72" s="493"/>
      <c r="O72" s="493"/>
      <c r="P72" s="493"/>
      <c r="Q72" s="493"/>
      <c r="R72" s="493"/>
      <c r="S72" s="493"/>
      <c r="T72" s="493"/>
      <c r="U72" s="493"/>
      <c r="V72" s="493"/>
      <c r="W72" s="493"/>
      <c r="X72" s="493"/>
      <c r="Y72" s="493"/>
      <c r="Z72" s="493"/>
      <c r="AA72" s="493"/>
      <c r="AB72" s="493"/>
      <c r="AC72" s="493"/>
      <c r="AD72" s="493"/>
      <c r="AE72" s="493"/>
      <c r="AF72" s="493"/>
      <c r="AG72" s="493"/>
      <c r="AH72" s="493"/>
      <c r="AI72" s="493"/>
      <c r="AJ72" s="493"/>
      <c r="AK72" s="493"/>
      <c r="AL72" s="493"/>
      <c r="AM72" s="493"/>
      <c r="AN72" s="493"/>
      <c r="AO72" s="493"/>
      <c r="AP72" s="493"/>
      <c r="AQ72" s="493"/>
      <c r="AR72" s="493"/>
      <c r="AS72" s="493"/>
      <c r="AT72" s="493"/>
      <c r="AU72" s="493"/>
    </row>
    <row r="73" spans="5:51" outlineLevel="1">
      <c r="E73" s="493"/>
      <c r="F73" s="493"/>
      <c r="G73" s="493"/>
      <c r="H73" s="493">
        <v>2053.87</v>
      </c>
      <c r="I73" s="493"/>
      <c r="J73" s="493"/>
      <c r="K73" s="493"/>
      <c r="L73" s="493"/>
      <c r="M73" s="493"/>
      <c r="N73" s="493"/>
      <c r="O73" s="493"/>
      <c r="P73" s="493"/>
      <c r="Q73" s="493"/>
      <c r="R73" s="493"/>
      <c r="S73" s="493"/>
      <c r="T73" s="493"/>
      <c r="U73" s="493"/>
      <c r="V73" s="493"/>
      <c r="W73" s="493"/>
      <c r="X73" s="493"/>
      <c r="Y73" s="493"/>
      <c r="Z73" s="493"/>
      <c r="AA73" s="493"/>
      <c r="AB73" s="493"/>
      <c r="AC73" s="493"/>
      <c r="AD73" s="493"/>
      <c r="AE73" s="493"/>
      <c r="AF73" s="493"/>
      <c r="AG73" s="493"/>
      <c r="AH73" s="493"/>
      <c r="AI73" s="493"/>
      <c r="AJ73" s="493"/>
      <c r="AK73" s="493"/>
      <c r="AL73" s="493"/>
      <c r="AM73" s="493"/>
      <c r="AN73" s="493"/>
      <c r="AO73" s="493"/>
      <c r="AP73" s="493"/>
      <c r="AQ73" s="493"/>
      <c r="AR73" s="493"/>
      <c r="AS73" s="493"/>
      <c r="AT73" s="493"/>
      <c r="AU73" s="493"/>
    </row>
    <row r="74" spans="5:51" outlineLevel="1">
      <c r="E74" s="493"/>
      <c r="F74" s="493"/>
      <c r="G74" s="493"/>
      <c r="H74" s="493"/>
      <c r="I74" s="493"/>
      <c r="J74" s="493"/>
      <c r="K74" s="493"/>
      <c r="L74" s="493"/>
      <c r="M74" s="493"/>
      <c r="N74" s="493"/>
      <c r="O74" s="493"/>
      <c r="P74" s="493"/>
      <c r="Q74" s="493"/>
      <c r="R74" s="493"/>
      <c r="S74" s="493"/>
      <c r="T74" s="493"/>
      <c r="U74" s="493"/>
      <c r="V74" s="493"/>
      <c r="W74" s="493"/>
      <c r="X74" s="493"/>
      <c r="Y74" s="493"/>
      <c r="Z74" s="493"/>
      <c r="AA74" s="493"/>
      <c r="AB74" s="493"/>
      <c r="AC74" s="493"/>
      <c r="AD74" s="493"/>
      <c r="AE74" s="493"/>
      <c r="AF74" s="493"/>
      <c r="AG74" s="493"/>
      <c r="AH74" s="493"/>
      <c r="AI74" s="493"/>
      <c r="AJ74" s="493"/>
      <c r="AK74" s="493"/>
      <c r="AL74" s="493"/>
      <c r="AM74" s="493"/>
      <c r="AN74" s="493"/>
      <c r="AO74" s="493"/>
      <c r="AP74" s="493"/>
      <c r="AQ74" s="493"/>
      <c r="AR74" s="493"/>
      <c r="AS74" s="493"/>
      <c r="AT74" s="493"/>
      <c r="AU74" s="493"/>
    </row>
    <row r="75" spans="5:51">
      <c r="E75" s="493"/>
      <c r="F75" s="493"/>
      <c r="G75" s="493"/>
      <c r="H75" s="493"/>
      <c r="I75" s="493"/>
      <c r="J75" s="493"/>
      <c r="K75" s="493"/>
      <c r="L75" s="493"/>
      <c r="M75" s="493"/>
      <c r="N75" s="493"/>
      <c r="O75" s="493"/>
      <c r="P75" s="493"/>
      <c r="Q75" s="493"/>
      <c r="R75" s="493"/>
      <c r="S75" s="493"/>
      <c r="T75" s="493"/>
      <c r="U75" s="493"/>
      <c r="V75" s="493"/>
      <c r="W75" s="493"/>
      <c r="X75" s="493"/>
      <c r="Y75" s="493"/>
      <c r="Z75" s="493"/>
      <c r="AA75" s="493"/>
      <c r="AB75" s="493"/>
      <c r="AC75" s="493"/>
      <c r="AD75" s="493"/>
      <c r="AE75" s="493"/>
      <c r="AF75" s="493"/>
      <c r="AG75" s="493"/>
      <c r="AH75" s="493"/>
      <c r="AI75" s="493"/>
      <c r="AJ75" s="493"/>
      <c r="AK75" s="493"/>
      <c r="AL75" s="493"/>
      <c r="AM75" s="493"/>
      <c r="AN75" s="493"/>
      <c r="AO75" s="493"/>
      <c r="AP75" s="493"/>
      <c r="AQ75" s="493"/>
      <c r="AR75" s="493"/>
      <c r="AS75" s="493"/>
      <c r="AT75" s="493"/>
      <c r="AU75" s="493"/>
    </row>
  </sheetData>
  <sheetProtection formatCells="0"/>
  <mergeCells count="39">
    <mergeCell ref="B8:D11"/>
    <mergeCell ref="B12:B15"/>
    <mergeCell ref="C12:C15"/>
    <mergeCell ref="D12:D15"/>
    <mergeCell ref="E12:AY12"/>
    <mergeCell ref="H14:J14"/>
    <mergeCell ref="K14:M14"/>
    <mergeCell ref="N14:P14"/>
    <mergeCell ref="Q14:S14"/>
    <mergeCell ref="AC14:AE14"/>
    <mergeCell ref="AF14:AH14"/>
    <mergeCell ref="AI14:AK14"/>
    <mergeCell ref="BA12:BA15"/>
    <mergeCell ref="E13:J13"/>
    <mergeCell ref="K13:P13"/>
    <mergeCell ref="Q13:V13"/>
    <mergeCell ref="W13:AB13"/>
    <mergeCell ref="AC13:AH13"/>
    <mergeCell ref="AI13:AN13"/>
    <mergeCell ref="AO13:AT13"/>
    <mergeCell ref="AU13:AY13"/>
    <mergeCell ref="E14:G14"/>
    <mergeCell ref="AZ12:AZ15"/>
    <mergeCell ref="AW14:AX14"/>
    <mergeCell ref="AY14:AY15"/>
    <mergeCell ref="T14:V14"/>
    <mergeCell ref="W14:Y14"/>
    <mergeCell ref="Z14:AB14"/>
    <mergeCell ref="B55:D56"/>
    <mergeCell ref="AL14:AM14"/>
    <mergeCell ref="AO14:AQ14"/>
    <mergeCell ref="AR14:AS14"/>
    <mergeCell ref="AU14:AV14"/>
    <mergeCell ref="B46:D46"/>
    <mergeCell ref="B47:D47"/>
    <mergeCell ref="B48:D48"/>
    <mergeCell ref="B49:B53"/>
    <mergeCell ref="AU49:AY53"/>
    <mergeCell ref="AU46:AV48"/>
  </mergeCells>
  <conditionalFormatting sqref="AY16:AY45">
    <cfRule type="cellIs" dxfId="11" priority="1" operator="equal">
      <formula>0</formula>
    </cfRule>
    <cfRule type="cellIs" dxfId="10" priority="2" operator="greaterThan">
      <formula>0</formula>
    </cfRule>
    <cfRule type="cellIs" dxfId="9" priority="3" operator="lessThan">
      <formula>0</formula>
    </cfRule>
  </conditionalFormatting>
  <hyperlinks>
    <hyperlink ref="A6" location="rng_Cover_Copyright" display="Subject to terms and conditions" xr:uid="{DFDAFF0B-24FF-4D2C-A5D2-0CD44CDC5B3D}"/>
  </hyperlink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DE994-5E62-47DD-B0EB-D230ED52F6BB}">
  <sheetPr codeName="Sheet2"/>
  <dimension ref="A1:AL47"/>
  <sheetViews>
    <sheetView showGridLines="0" zoomScale="90" zoomScaleNormal="90" workbookViewId="0">
      <selection activeCell="A2" sqref="A2"/>
    </sheetView>
  </sheetViews>
  <sheetFormatPr defaultColWidth="9.140625" defaultRowHeight="12.75"/>
  <cols>
    <col min="1" max="1" width="10.7109375" style="21" customWidth="1"/>
    <col min="2" max="2" width="16.42578125" style="21" customWidth="1"/>
    <col min="3" max="3" width="11.85546875" style="21" customWidth="1"/>
    <col min="4" max="31" width="7.5703125" style="21" customWidth="1"/>
    <col min="32" max="36" width="9.140625" style="21"/>
    <col min="37" max="38" width="16.42578125" style="21" customWidth="1"/>
    <col min="39" max="16384" width="9.140625" style="21"/>
  </cols>
  <sheetData>
    <row r="1" spans="1:38" s="24" customFormat="1" ht="38.1" customHeight="1">
      <c r="G1" s="24" t="str" cm="1">
        <f t="array" aca="1" ref="G1" ca="1">IFERROR(MID(CELL("filename",A1),FIND("]",CELL("filename",A1))+1,255),"(Becomes sheet name when saved; delete if not required.)")</f>
        <v>DownstreamDemand</v>
      </c>
    </row>
    <row r="2" spans="1:38" s="34" customFormat="1"/>
    <row r="3" spans="1:38" s="34" customFormat="1" ht="15">
      <c r="A3" s="39" t="s">
        <v>19</v>
      </c>
      <c r="B3" s="20" t="s">
        <v>398</v>
      </c>
      <c r="D3" s="494">
        <f>IF(D6="Rank",IFERROR(VLOOKUP($G$1&amp;D4&amp;D5,RawData!$A$3:$I$22,8,FALSE),0),0)</f>
        <v>0</v>
      </c>
      <c r="E3" s="494">
        <f ca="1">IF(E6="Rank",IFERROR(VLOOKUP($G$1&amp;E4&amp;E5,RawData!$A$3:$I$22,8,FALSE),0),0)</f>
        <v>0</v>
      </c>
      <c r="F3" s="494">
        <f>IF(F6="Rank",IFERROR(VLOOKUP($G$1&amp;F4&amp;F5,RawData!$A$3:$I$22,8,FALSE),0),0)</f>
        <v>0</v>
      </c>
      <c r="G3" s="494">
        <f ca="1">IF(G6="Rank",IFERROR(VLOOKUP($G$1&amp;G4&amp;G5,RawData!$A$3:$I$22,8,FALSE),0),0)</f>
        <v>0</v>
      </c>
      <c r="H3" s="494">
        <f>IF(H6="Rank",IFERROR(VLOOKUP($G$1&amp;H4&amp;H5,RawData!$A$3:$I$22,8,FALSE),0),0)</f>
        <v>0</v>
      </c>
      <c r="I3" s="494">
        <f ca="1">IF(I6="Rank",IFERROR(VLOOKUP($G$1&amp;I4&amp;I5,RawData!$A$3:$I$22,8,FALSE),0),0)</f>
        <v>0</v>
      </c>
      <c r="J3" s="494">
        <f>IF(J6="Rank",IFERROR(VLOOKUP($G$1&amp;J4&amp;J5,RawData!$A$3:$I$22,8,FALSE),0),0)</f>
        <v>0</v>
      </c>
      <c r="K3" s="494">
        <f ca="1">IF(K6="Rank",IFERROR(VLOOKUP($G$1&amp;K4&amp;K5,RawData!$A$3:$I$22,8,FALSE),0),0)</f>
        <v>0</v>
      </c>
      <c r="L3" s="494">
        <f>IF(L6="Rank",IFERROR(VLOOKUP($G$1&amp;L4&amp;L5,RawData!$A$3:$I$22,8,FALSE),0),0)</f>
        <v>0</v>
      </c>
      <c r="M3" s="494">
        <f ca="1">IF(M6="Rank",IFERROR(VLOOKUP($G$1&amp;M4&amp;M5,RawData!$A$3:$I$22,8,FALSE),0),0)</f>
        <v>0</v>
      </c>
      <c r="N3" s="494">
        <f>IF(N6="Rank",IFERROR(VLOOKUP($G$1&amp;N4&amp;N5,RawData!$A$3:$I$22,8,FALSE),0),0)</f>
        <v>0</v>
      </c>
      <c r="O3" s="494">
        <f ca="1">IF(O6="Rank",IFERROR(VLOOKUP($G$1&amp;O4&amp;O5,RawData!$A$3:$I$22,8,FALSE),0),0)</f>
        <v>0</v>
      </c>
      <c r="P3" s="494">
        <f>IF(P6="Rank",IFERROR(VLOOKUP($G$1&amp;P4&amp;P5,RawData!$A$3:$I$22,8,FALSE),0),0)</f>
        <v>0</v>
      </c>
      <c r="Q3" s="494">
        <f ca="1">IF(Q6="Rank",IFERROR(VLOOKUP($G$1&amp;Q4&amp;Q5,RawData!$A$3:$I$22,8,FALSE),0),0)</f>
        <v>0</v>
      </c>
      <c r="R3" s="494">
        <f>IF(R6="Rank",IFERROR(VLOOKUP($G$1&amp;R4&amp;R5,RawData!$A$3:$I$22,8,FALSE),0),0)</f>
        <v>0</v>
      </c>
      <c r="S3" s="494">
        <f ca="1">IF(S6="Rank",IFERROR(VLOOKUP($G$1&amp;S4&amp;S5,RawData!$A$3:$I$22,8,FALSE),0),0)</f>
        <v>0</v>
      </c>
      <c r="T3" s="494">
        <f>IF(T6="Rank",IFERROR(VLOOKUP($G$1&amp;T4&amp;T5,RawData!$A$3:$I$22,8,FALSE),0),0)</f>
        <v>0</v>
      </c>
      <c r="U3" s="494">
        <f ca="1">IF(U6="Rank",IFERROR(VLOOKUP($G$1&amp;U4&amp;U5,RawData!$A$3:$I$22,8,FALSE),0),0)</f>
        <v>0</v>
      </c>
      <c r="V3" s="494">
        <f>IF(V6="Rank",IFERROR(VLOOKUP($G$1&amp;V4&amp;V5,RawData!$A$3:$I$22,8,FALSE),0),0)</f>
        <v>0</v>
      </c>
      <c r="W3" s="494">
        <f ca="1">IF(W6="Rank",IFERROR(VLOOKUP($G$1&amp;W4&amp;W5,RawData!$A$3:$I$22,8,FALSE),0),0)</f>
        <v>0</v>
      </c>
      <c r="X3" s="494">
        <f>IF(X6="Rank",IFERROR(VLOOKUP($G$1&amp;X4&amp;X5,RawData!$A$3:$I$22,8,FALSE),0),0)</f>
        <v>0</v>
      </c>
      <c r="Y3" s="494">
        <f ca="1">IF(Y6="Rank",IFERROR(VLOOKUP($G$1&amp;Y4&amp;Y5,RawData!$A$3:$I$22,8,FALSE),0),0)</f>
        <v>0.5</v>
      </c>
      <c r="Z3" s="494">
        <f>IF(Z6="Rank",IFERROR(VLOOKUP($G$1&amp;Z4&amp;Z5,RawData!$A$3:$I$22,8,FALSE),0),0)</f>
        <v>0</v>
      </c>
      <c r="AA3" s="494">
        <f ca="1">IF(AA6="Rank",IFERROR(VLOOKUP($G$1&amp;AA4&amp;AA5,RawData!$A$3:$I$22,8,FALSE),0),0)</f>
        <v>0.5</v>
      </c>
      <c r="AB3" s="494">
        <f>IF(AB6="Rank",IFERROR(VLOOKUP($G$1&amp;AB4&amp;AB5,RawData!$A$3:$I$22,8,FALSE),0),0)</f>
        <v>0</v>
      </c>
      <c r="AC3" s="494">
        <f ca="1">IF(AC6="Rank",IFERROR(VLOOKUP($G$1&amp;AC4&amp;AC5,RawData!$A$3:$I$22,8,FALSE),0),0)</f>
        <v>0.5</v>
      </c>
      <c r="AD3" s="494">
        <f>IF(AD6="Rank",IFERROR(VLOOKUP($G$1&amp;AD4&amp;AD5,RawData!$A$3:$I$22,8,FALSE),0),0)</f>
        <v>0</v>
      </c>
      <c r="AE3" s="494">
        <f ca="1">IF(AE6="Rank",IFERROR(VLOOKUP($G$1&amp;AE4&amp;AE5,RawData!$A$3:$I$22,8,FALSE),0),0)</f>
        <v>0.5</v>
      </c>
    </row>
    <row r="4" spans="1:38" s="34" customFormat="1">
      <c r="A4" s="39" t="s">
        <v>20</v>
      </c>
      <c r="B4" s="22"/>
      <c r="D4" s="494"/>
      <c r="E4" s="21"/>
    </row>
    <row r="5" spans="1:38" s="34" customFormat="1">
      <c r="A5" s="39" t="s">
        <v>21</v>
      </c>
      <c r="B5" s="22"/>
      <c r="D5" s="21" t="str">
        <f>IF(D9="",C6,D9)</f>
        <v>Passenger EVs (BEVs and PHEVs)</v>
      </c>
      <c r="E5" s="21" t="str">
        <f t="shared" ref="E5:AE5" si="0">IF(E9="",D5,E9)</f>
        <v>Passenger EVs (BEVs and PHEVs)</v>
      </c>
      <c r="F5" s="21" t="str">
        <f t="shared" si="0"/>
        <v>Passenger EVs (BEVs and PHEVs)</v>
      </c>
      <c r="G5" s="21" t="str">
        <f t="shared" si="0"/>
        <v>Passenger EVs (BEVs and PHEVs)</v>
      </c>
      <c r="H5" s="21" t="str">
        <f t="shared" si="0"/>
        <v>Commercial EVs</v>
      </c>
      <c r="I5" s="21" t="str">
        <f t="shared" si="0"/>
        <v>Commercial EVs</v>
      </c>
      <c r="J5" s="21" t="str">
        <f t="shared" si="0"/>
        <v>Commercial EVs</v>
      </c>
      <c r="K5" s="21" t="str">
        <f t="shared" si="0"/>
        <v>Commercial EVs</v>
      </c>
      <c r="L5" s="21" t="str">
        <f t="shared" si="0"/>
        <v>E-buses</v>
      </c>
      <c r="M5" s="21" t="str">
        <f t="shared" si="0"/>
        <v>E-buses</v>
      </c>
      <c r="N5" s="21" t="str">
        <f t="shared" si="0"/>
        <v>E-buses</v>
      </c>
      <c r="O5" s="21" t="str">
        <f t="shared" si="0"/>
        <v>E-buses</v>
      </c>
      <c r="P5" s="21" t="str">
        <f t="shared" si="0"/>
        <v>2/3 Wheelers</v>
      </c>
      <c r="Q5" s="21" t="str">
        <f t="shared" si="0"/>
        <v>2/3 Wheelers</v>
      </c>
      <c r="R5" s="21" t="str">
        <f t="shared" si="0"/>
        <v>2/3 Wheelers</v>
      </c>
      <c r="S5" s="21" t="str">
        <f t="shared" si="0"/>
        <v>2/3 Wheelers</v>
      </c>
      <c r="T5" s="21" t="str">
        <f t="shared" si="0"/>
        <v>Stationary Storage</v>
      </c>
      <c r="U5" s="21" t="str">
        <f t="shared" si="0"/>
        <v>Stationary Storage</v>
      </c>
      <c r="V5" s="21" t="str">
        <f t="shared" si="0"/>
        <v>Stationary Storage</v>
      </c>
      <c r="W5" s="21" t="str">
        <f t="shared" si="0"/>
        <v>Stationary Storage</v>
      </c>
      <c r="X5" s="21" t="str">
        <f t="shared" si="0"/>
        <v xml:space="preserve">Aggregated Demand </v>
      </c>
      <c r="Y5" s="21" t="str">
        <f t="shared" si="0"/>
        <v xml:space="preserve">Aggregated Demand </v>
      </c>
      <c r="Z5" s="21" t="str">
        <f t="shared" si="0"/>
        <v xml:space="preserve">Aggregated Demand </v>
      </c>
      <c r="AA5" s="21" t="str">
        <f t="shared" si="0"/>
        <v xml:space="preserve">Aggregated Demand </v>
      </c>
      <c r="AB5" s="21" t="str">
        <f t="shared" si="0"/>
        <v xml:space="preserve">Regional Demand </v>
      </c>
      <c r="AC5" s="21" t="str">
        <f t="shared" si="0"/>
        <v xml:space="preserve">Regional Demand </v>
      </c>
      <c r="AD5" s="21" t="str">
        <f t="shared" si="0"/>
        <v xml:space="preserve">Regional Demand </v>
      </c>
      <c r="AE5" s="21" t="str">
        <f t="shared" si="0"/>
        <v xml:space="preserve">Regional Demand </v>
      </c>
      <c r="AF5" s="21" t="str">
        <f t="shared" ref="AF5:AI5" si="1">IF(AF9="",AE5,AF9)</f>
        <v>Overall</v>
      </c>
      <c r="AG5" s="21" t="str">
        <f t="shared" si="1"/>
        <v>Overall</v>
      </c>
      <c r="AH5" s="21" t="str">
        <f t="shared" si="1"/>
        <v>Overall</v>
      </c>
      <c r="AI5" s="21" t="str">
        <f t="shared" si="1"/>
        <v>Overall</v>
      </c>
    </row>
    <row r="6" spans="1:38" s="34" customFormat="1">
      <c r="A6" s="40" t="s">
        <v>0</v>
      </c>
      <c r="B6" s="21"/>
      <c r="C6" s="21"/>
      <c r="D6" s="34" t="str">
        <f>D11</f>
        <v>Gigawatt-hours</v>
      </c>
      <c r="E6" s="34" t="str">
        <f t="shared" ref="E6:AI6" si="2">E11</f>
        <v>Rank</v>
      </c>
      <c r="F6" s="34" t="str">
        <f t="shared" si="2"/>
        <v>Gigawatt-hours</v>
      </c>
      <c r="G6" s="34" t="str">
        <f t="shared" si="2"/>
        <v>Rank</v>
      </c>
      <c r="H6" s="34" t="str">
        <f t="shared" si="2"/>
        <v>Gigawatt-hours</v>
      </c>
      <c r="I6" s="34" t="str">
        <f t="shared" si="2"/>
        <v>Rank</v>
      </c>
      <c r="J6" s="34" t="str">
        <f t="shared" si="2"/>
        <v>Gigawatt-hours</v>
      </c>
      <c r="K6" s="34" t="str">
        <f t="shared" si="2"/>
        <v>Rank</v>
      </c>
      <c r="L6" s="34" t="str">
        <f t="shared" si="2"/>
        <v>Gigawatt-hours</v>
      </c>
      <c r="M6" s="34" t="str">
        <f t="shared" si="2"/>
        <v>Rank</v>
      </c>
      <c r="N6" s="34" t="str">
        <f t="shared" si="2"/>
        <v>Gigawatt-hours</v>
      </c>
      <c r="O6" s="34" t="str">
        <f t="shared" si="2"/>
        <v>Rank</v>
      </c>
      <c r="P6" s="34" t="str">
        <f t="shared" si="2"/>
        <v>Gigawatt-hours</v>
      </c>
      <c r="Q6" s="34" t="str">
        <f t="shared" si="2"/>
        <v>Rank</v>
      </c>
      <c r="R6" s="34" t="str">
        <f t="shared" si="2"/>
        <v>Gigawatt-hours</v>
      </c>
      <c r="S6" s="34" t="str">
        <f t="shared" si="2"/>
        <v>Rank</v>
      </c>
      <c r="T6" s="34" t="str">
        <f t="shared" si="2"/>
        <v>Gigawatt-hours</v>
      </c>
      <c r="U6" s="34" t="str">
        <f t="shared" si="2"/>
        <v>Rank</v>
      </c>
      <c r="V6" s="34" t="str">
        <f t="shared" si="2"/>
        <v>Gigawatt-hours</v>
      </c>
      <c r="W6" s="34" t="str">
        <f t="shared" si="2"/>
        <v>Rank</v>
      </c>
      <c r="X6" s="34" t="str">
        <f t="shared" si="2"/>
        <v>Gigawatt-hours</v>
      </c>
      <c r="Y6" s="34" t="str">
        <f t="shared" si="2"/>
        <v>Rank</v>
      </c>
      <c r="Z6" s="34" t="str">
        <f t="shared" si="2"/>
        <v>Gigawatt-hours</v>
      </c>
      <c r="AA6" s="34" t="str">
        <f t="shared" si="2"/>
        <v>Rank</v>
      </c>
      <c r="AB6" s="34" t="str">
        <f t="shared" si="2"/>
        <v>Gigawatt-hours</v>
      </c>
      <c r="AC6" s="34" t="str">
        <f t="shared" si="2"/>
        <v>Rank</v>
      </c>
      <c r="AD6" s="34" t="str">
        <f t="shared" si="2"/>
        <v>Gigawatt-hours</v>
      </c>
      <c r="AE6" s="34" t="str">
        <f t="shared" si="2"/>
        <v>Rank</v>
      </c>
      <c r="AF6" s="34" t="str">
        <f t="shared" si="2"/>
        <v>Score</v>
      </c>
      <c r="AG6" s="34" t="str">
        <f t="shared" si="2"/>
        <v>Rank</v>
      </c>
      <c r="AH6" s="34" t="str">
        <f t="shared" si="2"/>
        <v>Score</v>
      </c>
      <c r="AI6" s="34" t="str">
        <f t="shared" si="2"/>
        <v>Rank</v>
      </c>
    </row>
    <row r="7" spans="1:38">
      <c r="D7" s="21">
        <f>IF(D10="",C7,D10)</f>
        <v>2022</v>
      </c>
      <c r="E7" s="21">
        <f t="shared" ref="E7:AI7" si="3">IF(E10="",D7,E10)</f>
        <v>2022</v>
      </c>
      <c r="F7" s="21">
        <f t="shared" si="3"/>
        <v>2023</v>
      </c>
      <c r="G7" s="21">
        <f t="shared" si="3"/>
        <v>2023</v>
      </c>
      <c r="H7" s="21">
        <f t="shared" si="3"/>
        <v>2022</v>
      </c>
      <c r="I7" s="21">
        <f t="shared" si="3"/>
        <v>2022</v>
      </c>
      <c r="J7" s="21">
        <f t="shared" si="3"/>
        <v>2023</v>
      </c>
      <c r="K7" s="21">
        <f t="shared" si="3"/>
        <v>2023</v>
      </c>
      <c r="L7" s="21">
        <f t="shared" si="3"/>
        <v>2022</v>
      </c>
      <c r="M7" s="21">
        <f t="shared" si="3"/>
        <v>2022</v>
      </c>
      <c r="N7" s="21">
        <f t="shared" si="3"/>
        <v>2023</v>
      </c>
      <c r="O7" s="21">
        <f t="shared" si="3"/>
        <v>2023</v>
      </c>
      <c r="P7" s="21">
        <f t="shared" si="3"/>
        <v>2022</v>
      </c>
      <c r="Q7" s="21">
        <f t="shared" si="3"/>
        <v>2022</v>
      </c>
      <c r="R7" s="21">
        <f t="shared" si="3"/>
        <v>2023</v>
      </c>
      <c r="S7" s="21">
        <f t="shared" si="3"/>
        <v>2023</v>
      </c>
      <c r="T7" s="21">
        <f t="shared" si="3"/>
        <v>2022</v>
      </c>
      <c r="U7" s="21">
        <f t="shared" si="3"/>
        <v>2022</v>
      </c>
      <c r="V7" s="21">
        <f t="shared" si="3"/>
        <v>2023</v>
      </c>
      <c r="W7" s="21">
        <f t="shared" si="3"/>
        <v>2023</v>
      </c>
      <c r="X7" s="21">
        <f t="shared" si="3"/>
        <v>2022</v>
      </c>
      <c r="Y7" s="21">
        <f t="shared" si="3"/>
        <v>2022</v>
      </c>
      <c r="Z7" s="21">
        <f t="shared" si="3"/>
        <v>2023</v>
      </c>
      <c r="AA7" s="21">
        <f t="shared" si="3"/>
        <v>2023</v>
      </c>
      <c r="AB7" s="21">
        <f t="shared" si="3"/>
        <v>2022</v>
      </c>
      <c r="AC7" s="21">
        <f t="shared" si="3"/>
        <v>2022</v>
      </c>
      <c r="AD7" s="21">
        <f t="shared" si="3"/>
        <v>2023</v>
      </c>
      <c r="AE7" s="21">
        <f t="shared" si="3"/>
        <v>2023</v>
      </c>
      <c r="AF7" s="21">
        <f t="shared" si="3"/>
        <v>2022</v>
      </c>
      <c r="AG7" s="21">
        <f t="shared" si="3"/>
        <v>2022</v>
      </c>
      <c r="AH7" s="21">
        <f t="shared" si="3"/>
        <v>2023</v>
      </c>
      <c r="AI7" s="21">
        <f t="shared" si="3"/>
        <v>2023</v>
      </c>
    </row>
    <row r="8" spans="1:38" ht="20.100000000000001" customHeight="1">
      <c r="B8" s="776" t="s">
        <v>87</v>
      </c>
      <c r="C8" s="776" t="s">
        <v>23</v>
      </c>
      <c r="D8" s="820" t="s">
        <v>398</v>
      </c>
      <c r="E8" s="821"/>
      <c r="F8" s="821"/>
      <c r="G8" s="821"/>
      <c r="H8" s="821"/>
      <c r="I8" s="821"/>
      <c r="J8" s="821"/>
      <c r="K8" s="821"/>
      <c r="L8" s="821"/>
      <c r="M8" s="821"/>
      <c r="N8" s="821"/>
      <c r="O8" s="821"/>
      <c r="P8" s="821"/>
      <c r="Q8" s="821"/>
      <c r="R8" s="821"/>
      <c r="S8" s="821"/>
      <c r="T8" s="821"/>
      <c r="U8" s="821"/>
      <c r="V8" s="821"/>
      <c r="W8" s="821"/>
      <c r="X8" s="821"/>
      <c r="Y8" s="821"/>
      <c r="Z8" s="821"/>
      <c r="AA8" s="821"/>
      <c r="AB8" s="821"/>
      <c r="AC8" s="821"/>
      <c r="AD8" s="821"/>
      <c r="AE8" s="821"/>
      <c r="AF8" s="821"/>
      <c r="AG8" s="821"/>
      <c r="AH8" s="821"/>
      <c r="AI8" s="821"/>
      <c r="AJ8" s="822"/>
      <c r="AK8" s="776" t="s">
        <v>23</v>
      </c>
      <c r="AL8" s="776" t="s">
        <v>87</v>
      </c>
    </row>
    <row r="9" spans="1:38" ht="20.100000000000001" customHeight="1">
      <c r="B9" s="777"/>
      <c r="C9" s="777"/>
      <c r="D9" s="823" t="s">
        <v>399</v>
      </c>
      <c r="E9" s="824"/>
      <c r="F9" s="824"/>
      <c r="G9" s="825"/>
      <c r="H9" s="823" t="s">
        <v>400</v>
      </c>
      <c r="I9" s="824"/>
      <c r="J9" s="824"/>
      <c r="K9" s="825"/>
      <c r="L9" s="823" t="s">
        <v>401</v>
      </c>
      <c r="M9" s="824"/>
      <c r="N9" s="824"/>
      <c r="O9" s="825"/>
      <c r="P9" s="823" t="s">
        <v>402</v>
      </c>
      <c r="Q9" s="824"/>
      <c r="R9" s="824"/>
      <c r="S9" s="825"/>
      <c r="T9" s="824" t="s">
        <v>52</v>
      </c>
      <c r="U9" s="824"/>
      <c r="V9" s="824"/>
      <c r="W9" s="825"/>
      <c r="X9" s="826" t="s">
        <v>403</v>
      </c>
      <c r="Y9" s="826"/>
      <c r="Z9" s="826"/>
      <c r="AA9" s="826"/>
      <c r="AB9" s="827" t="s">
        <v>404</v>
      </c>
      <c r="AC9" s="827"/>
      <c r="AD9" s="827"/>
      <c r="AE9" s="827"/>
      <c r="AF9" s="828" t="s">
        <v>332</v>
      </c>
      <c r="AG9" s="829"/>
      <c r="AH9" s="829"/>
      <c r="AI9" s="829"/>
      <c r="AJ9" s="830"/>
      <c r="AK9" s="777"/>
      <c r="AL9" s="777"/>
    </row>
    <row r="10" spans="1:38" ht="20.100000000000001" customHeight="1">
      <c r="B10" s="777"/>
      <c r="C10" s="777"/>
      <c r="D10" s="670">
        <v>2022</v>
      </c>
      <c r="E10" s="671"/>
      <c r="F10" s="670">
        <v>2023</v>
      </c>
      <c r="G10" s="671"/>
      <c r="H10" s="670">
        <v>2022</v>
      </c>
      <c r="I10" s="671"/>
      <c r="J10" s="670">
        <v>2023</v>
      </c>
      <c r="K10" s="671"/>
      <c r="L10" s="670">
        <v>2022</v>
      </c>
      <c r="M10" s="671"/>
      <c r="N10" s="670">
        <v>2023</v>
      </c>
      <c r="O10" s="671"/>
      <c r="P10" s="670">
        <v>2022</v>
      </c>
      <c r="Q10" s="671"/>
      <c r="R10" s="670">
        <v>2023</v>
      </c>
      <c r="S10" s="671"/>
      <c r="T10" s="670">
        <v>2022</v>
      </c>
      <c r="U10" s="671"/>
      <c r="V10" s="670">
        <v>2023</v>
      </c>
      <c r="W10" s="671"/>
      <c r="X10" s="670">
        <v>2022</v>
      </c>
      <c r="Y10" s="671"/>
      <c r="Z10" s="670">
        <v>2023</v>
      </c>
      <c r="AA10" s="671"/>
      <c r="AB10" s="670">
        <v>2022</v>
      </c>
      <c r="AC10" s="671"/>
      <c r="AD10" s="670">
        <v>2023</v>
      </c>
      <c r="AE10" s="671"/>
      <c r="AF10" s="670">
        <v>2022</v>
      </c>
      <c r="AG10" s="671"/>
      <c r="AH10" s="670">
        <v>2023</v>
      </c>
      <c r="AI10" s="772"/>
      <c r="AJ10" s="754" t="s">
        <v>336</v>
      </c>
      <c r="AK10" s="777"/>
      <c r="AL10" s="777"/>
    </row>
    <row r="11" spans="1:38" ht="19.5" customHeight="1">
      <c r="B11" s="777"/>
      <c r="C11" s="777"/>
      <c r="D11" s="298" t="s">
        <v>659</v>
      </c>
      <c r="E11" s="380" t="s">
        <v>241</v>
      </c>
      <c r="F11" s="298" t="s">
        <v>659</v>
      </c>
      <c r="G11" s="380" t="s">
        <v>241</v>
      </c>
      <c r="H11" s="298" t="s">
        <v>659</v>
      </c>
      <c r="I11" s="380" t="s">
        <v>241</v>
      </c>
      <c r="J11" s="298" t="s">
        <v>659</v>
      </c>
      <c r="K11" s="380" t="s">
        <v>241</v>
      </c>
      <c r="L11" s="298" t="s">
        <v>659</v>
      </c>
      <c r="M11" s="380" t="s">
        <v>241</v>
      </c>
      <c r="N11" s="298" t="s">
        <v>659</v>
      </c>
      <c r="O11" s="380" t="s">
        <v>241</v>
      </c>
      <c r="P11" s="298" t="s">
        <v>659</v>
      </c>
      <c r="Q11" s="380" t="s">
        <v>241</v>
      </c>
      <c r="R11" s="298" t="s">
        <v>659</v>
      </c>
      <c r="S11" s="380" t="s">
        <v>241</v>
      </c>
      <c r="T11" s="298" t="s">
        <v>659</v>
      </c>
      <c r="U11" s="380" t="s">
        <v>241</v>
      </c>
      <c r="V11" s="298" t="s">
        <v>659</v>
      </c>
      <c r="W11" s="380" t="s">
        <v>241</v>
      </c>
      <c r="X11" s="298" t="s">
        <v>659</v>
      </c>
      <c r="Y11" s="380" t="s">
        <v>241</v>
      </c>
      <c r="Z11" s="298" t="s">
        <v>659</v>
      </c>
      <c r="AA11" s="380" t="s">
        <v>241</v>
      </c>
      <c r="AB11" s="298" t="s">
        <v>659</v>
      </c>
      <c r="AC11" s="380" t="s">
        <v>241</v>
      </c>
      <c r="AD11" s="298" t="s">
        <v>659</v>
      </c>
      <c r="AE11" s="380" t="s">
        <v>241</v>
      </c>
      <c r="AF11" s="298" t="s">
        <v>337</v>
      </c>
      <c r="AG11" s="380" t="s">
        <v>241</v>
      </c>
      <c r="AH11" s="298" t="s">
        <v>337</v>
      </c>
      <c r="AI11" s="380" t="s">
        <v>241</v>
      </c>
      <c r="AJ11" s="755"/>
      <c r="AK11" s="777"/>
      <c r="AL11" s="777"/>
    </row>
    <row r="12" spans="1:38" s="445" customFormat="1" ht="12.75" customHeight="1">
      <c r="B12" s="301" t="s">
        <v>5</v>
      </c>
      <c r="C12" s="302" t="s">
        <v>338</v>
      </c>
      <c r="D12" s="381">
        <v>0.33642502232357557</v>
      </c>
      <c r="E12" s="304">
        <f>RANK(D12,$D$12:$D$41,0)</f>
        <v>17</v>
      </c>
      <c r="F12" s="309">
        <v>0.56000000000000005</v>
      </c>
      <c r="G12" s="313">
        <f>RANK(F12,$F$12:$F$41,0)</f>
        <v>19</v>
      </c>
      <c r="H12" s="382">
        <v>6.6496635901775555E-2</v>
      </c>
      <c r="I12" s="304">
        <f>RANK(H12,$H$12:$H$41,0)</f>
        <v>17</v>
      </c>
      <c r="J12" s="309">
        <v>0.01</v>
      </c>
      <c r="K12" s="383">
        <f>RANK(J12,$J$12:$J$41,0)</f>
        <v>15</v>
      </c>
      <c r="L12" s="381">
        <v>5.9165503261818728E-3</v>
      </c>
      <c r="M12" s="304">
        <f>RANK(L12,$L$12:$L$41,0)</f>
        <v>23</v>
      </c>
      <c r="N12" s="309">
        <v>0.01</v>
      </c>
      <c r="O12" s="312">
        <f>RANK(N12,$N$12:$N$41,0)</f>
        <v>18</v>
      </c>
      <c r="P12" s="381">
        <v>5.9546600727842331E-3</v>
      </c>
      <c r="Q12" s="304">
        <f>RANK(P12,$P$12:$P$41,0)</f>
        <v>10</v>
      </c>
      <c r="R12" s="309">
        <v>0</v>
      </c>
      <c r="S12" s="313">
        <f t="shared" ref="S12:S41" si="4">RANK(R12,$R$12:$R$41,0)</f>
        <v>13</v>
      </c>
      <c r="T12" s="381">
        <v>1.408191785E-2</v>
      </c>
      <c r="U12" s="304">
        <f>RANK(T12,$T$12:$T$41,0)</f>
        <v>21</v>
      </c>
      <c r="V12" s="309">
        <v>2.8886646669999998E-2</v>
      </c>
      <c r="W12" s="313">
        <f>RANK(V12,$V$12:$V$41,0)</f>
        <v>20</v>
      </c>
      <c r="X12" s="381">
        <f>SUMIFS($D12:$W12,$D$11:$W$11,X$11,$D$7:$W$7,X$7)</f>
        <v>0.42887478647431726</v>
      </c>
      <c r="Y12" s="304">
        <f>RANK(X12,X$12:X$41,0)</f>
        <v>20</v>
      </c>
      <c r="Z12" s="309">
        <f>SUMIFS($D12:$W12,$D$11:$W$11,Z$11,$D$7:$W$7,Z$7)</f>
        <v>0.60888664667000003</v>
      </c>
      <c r="AA12" s="313">
        <f>RANK(Z12,Z$12:Z$41,0)</f>
        <v>21</v>
      </c>
      <c r="AB12" s="382">
        <f>SUMIFS($X$12:$X$41,$B$12:$B$41,$B12)</f>
        <v>116.71196806374394</v>
      </c>
      <c r="AC12" s="304" cm="1">
        <f t="array" ref="AC12">SUMPRODUCT((AB12&lt;=AB$12:AB$41)/COUNTIF(AB$12:AB$41,AB$12:AB$41))</f>
        <v>2</v>
      </c>
      <c r="AD12" s="309">
        <v>148.30000000000001</v>
      </c>
      <c r="AE12" s="321" cm="1">
        <f t="array" ref="AE12">SUMPRODUCT((AD12&lt;=AD$12:AD$41)/COUNTIF(AD$12:AD$41,AD$12:AD$41))</f>
        <v>2</v>
      </c>
      <c r="AF12" s="304" cm="1">
        <f t="array" aca="1" ref="AF12" ca="1">ROUNDUP(SUMPRODUCT(--($D$7:$AE$7=AF$7),$D12:$AE12,$D$3:$AE$3),3)</f>
        <v>11</v>
      </c>
      <c r="AG12" s="304">
        <f ca="1">RANK(AF12,$AF$12:$AF$41,1)</f>
        <v>18</v>
      </c>
      <c r="AH12" s="312" cm="1">
        <f t="array" aca="1" ref="AH12" ca="1">ROUNDUP(SUMPRODUCT(--($D$7:$AE$7=AH$7),$D12:$AE12,$D$3:$AE$3),3)</f>
        <v>11.5</v>
      </c>
      <c r="AI12" s="312">
        <f ca="1">RANK(AH12,$AH$12:$AH$41,1)</f>
        <v>20</v>
      </c>
      <c r="AJ12" s="515">
        <f ca="1">AG12-AI12</f>
        <v>-2</v>
      </c>
      <c r="AK12" s="302" t="s">
        <v>338</v>
      </c>
      <c r="AL12" s="314" t="s">
        <v>5</v>
      </c>
    </row>
    <row r="13" spans="1:38" s="445" customFormat="1" ht="12.75" customHeight="1">
      <c r="B13" s="315" t="s">
        <v>5</v>
      </c>
      <c r="C13" s="316" t="s">
        <v>83</v>
      </c>
      <c r="D13" s="384">
        <v>1.6640855241598296</v>
      </c>
      <c r="E13" s="305">
        <f t="shared" ref="E13:E40" si="5">RANK(D13,$D$12:$D$41,0)</f>
        <v>11</v>
      </c>
      <c r="F13" s="319">
        <v>1.49</v>
      </c>
      <c r="G13" s="321">
        <f t="shared" ref="G13:G40" si="6">RANK(F13,$F$12:$F$41,0)</f>
        <v>12</v>
      </c>
      <c r="H13" s="385">
        <v>6.5090050100307939E-2</v>
      </c>
      <c r="I13" s="305">
        <f t="shared" ref="I13:I40" si="7">RANK(H13,$H$12:$H$41,0)</f>
        <v>18</v>
      </c>
      <c r="J13" s="319">
        <v>0.06</v>
      </c>
      <c r="K13" s="386">
        <f t="shared" ref="K13:K41" si="8">RANK(J13,$J$12:$J$41,0)</f>
        <v>11</v>
      </c>
      <c r="L13" s="384">
        <v>3.08689582235576E-3</v>
      </c>
      <c r="M13" s="305">
        <f t="shared" ref="M13:M41" si="9">RANK(L13,$L$12:$L$41,0)</f>
        <v>25</v>
      </c>
      <c r="N13" s="319">
        <v>0.06</v>
      </c>
      <c r="O13" s="307">
        <f t="shared" ref="O13:O37" si="10">RANK(N13,$N$12:$N$41,0)</f>
        <v>10</v>
      </c>
      <c r="P13" s="384">
        <v>5.9546600727842331E-3</v>
      </c>
      <c r="Q13" s="305">
        <f t="shared" ref="Q13:Q41" si="11">RANK(P13,$P$12:$P$41,0)</f>
        <v>10</v>
      </c>
      <c r="R13" s="319">
        <v>0</v>
      </c>
      <c r="S13" s="321">
        <f t="shared" si="4"/>
        <v>13</v>
      </c>
      <c r="T13" s="384">
        <v>2.9143499999999999E-2</v>
      </c>
      <c r="U13" s="305">
        <f t="shared" ref="U13:U41" si="12">RANK(T13,$T$12:$T$41,0)</f>
        <v>14</v>
      </c>
      <c r="V13" s="319">
        <v>4.3856115475000006E-2</v>
      </c>
      <c r="W13" s="321">
        <f t="shared" ref="W13:W41" si="13">RANK(V13,$V$12:$V$41,0)</f>
        <v>17</v>
      </c>
      <c r="X13" s="381">
        <f t="shared" ref="X13:X41" si="14">SUMIFS(D13:W13,$D$11:$W$11,X$11,$D$7:$W$7,X$7)</f>
        <v>1.7673606301552776</v>
      </c>
      <c r="Y13" s="305">
        <f t="shared" ref="Y13:Y41" si="15">RANK(X13,X$12:X$41,0)</f>
        <v>13</v>
      </c>
      <c r="Z13" s="319">
        <f t="shared" ref="Z13:Z41" si="16">SUMIFS($D13:$W13,$D$11:$W$11,Z$11,$D$7:$W$7,Z$7)</f>
        <v>1.653856115475</v>
      </c>
      <c r="AA13" s="321">
        <f t="shared" ref="AA13:AA41" si="17">RANK(Z13,$Z$12:$Z$41,0)</f>
        <v>14</v>
      </c>
      <c r="AB13" s="385">
        <f t="shared" ref="AB13:AB41" si="18">SUMIFS($X$12:$X$41,$B$12:$B$41,$B13)</f>
        <v>116.71196806374394</v>
      </c>
      <c r="AC13" s="305" cm="1">
        <f t="array" ref="AC13">SUMPRODUCT((AB13&lt;=AB$12:AB$41)/COUNTIF(AB$12:AB$41,AB$12:AB$41))</f>
        <v>2</v>
      </c>
      <c r="AD13" s="319">
        <v>148.30000000000001</v>
      </c>
      <c r="AE13" s="321" cm="1">
        <f t="array" ref="AE13">SUMPRODUCT((AD13&lt;=AD$12:AD$41)/COUNTIF(AD$12:AD$41,AD$12:AD$41))</f>
        <v>2</v>
      </c>
      <c r="AF13" s="305" cm="1">
        <f t="array" aca="1" ref="AF13" ca="1">ROUNDUP(SUMPRODUCT(--($D$7:$AE$7=AF$7),$D13:$AE13,$D$3:$AE$3),3)</f>
        <v>7.5</v>
      </c>
      <c r="AG13" s="305">
        <f t="shared" ref="AG13:AG41" ca="1" si="19">RANK(AF13,$AF$12:$AF$41,1)</f>
        <v>11</v>
      </c>
      <c r="AH13" s="307" cm="1">
        <f t="array" aca="1" ref="AH13" ca="1">ROUNDUP(SUMPRODUCT(--($D$7:$AE$7=AH$7),$D13:$AE13,$D$3:$AE$3),3)</f>
        <v>8</v>
      </c>
      <c r="AI13" s="307">
        <f t="shared" ref="AI13:AI41" ca="1" si="20">RANK(AH13,$AH$12:$AH$41,1)</f>
        <v>12</v>
      </c>
      <c r="AJ13" s="516">
        <f t="shared" ref="AJ13:AJ41" ca="1" si="21">AG13-AI13</f>
        <v>-1</v>
      </c>
      <c r="AK13" s="316" t="s">
        <v>83</v>
      </c>
      <c r="AL13" s="322" t="s">
        <v>5</v>
      </c>
    </row>
    <row r="14" spans="1:38" s="445" customFormat="1" ht="12.75" customHeight="1">
      <c r="B14" s="315" t="s">
        <v>5</v>
      </c>
      <c r="C14" s="316" t="s">
        <v>26</v>
      </c>
      <c r="D14" s="384">
        <v>20.143755355008498</v>
      </c>
      <c r="E14" s="305">
        <f t="shared" si="5"/>
        <v>5</v>
      </c>
      <c r="F14" s="319">
        <v>14.88</v>
      </c>
      <c r="G14" s="321">
        <f t="shared" si="6"/>
        <v>5</v>
      </c>
      <c r="H14" s="385">
        <v>2.7762781634775284</v>
      </c>
      <c r="I14" s="305">
        <f t="shared" si="7"/>
        <v>4</v>
      </c>
      <c r="J14" s="319">
        <v>1.29</v>
      </c>
      <c r="K14" s="386">
        <f t="shared" si="8"/>
        <v>6</v>
      </c>
      <c r="L14" s="384">
        <v>5.3267908065663068E-2</v>
      </c>
      <c r="M14" s="305">
        <f t="shared" si="9"/>
        <v>14</v>
      </c>
      <c r="N14" s="319">
        <v>0.09</v>
      </c>
      <c r="O14" s="307">
        <f t="shared" si="10"/>
        <v>8</v>
      </c>
      <c r="P14" s="384">
        <v>2.8382431053951843E-2</v>
      </c>
      <c r="Q14" s="305">
        <f t="shared" si="11"/>
        <v>5</v>
      </c>
      <c r="R14" s="319">
        <v>0.15</v>
      </c>
      <c r="S14" s="321">
        <f t="shared" si="4"/>
        <v>4</v>
      </c>
      <c r="T14" s="384">
        <v>0.3442790416</v>
      </c>
      <c r="U14" s="305">
        <f t="shared" si="12"/>
        <v>8</v>
      </c>
      <c r="V14" s="319">
        <v>0.41099999999999998</v>
      </c>
      <c r="W14" s="321">
        <f t="shared" si="13"/>
        <v>9</v>
      </c>
      <c r="X14" s="384">
        <f t="shared" si="14"/>
        <v>23.345962899205642</v>
      </c>
      <c r="Y14" s="305">
        <f t="shared" si="15"/>
        <v>5</v>
      </c>
      <c r="Z14" s="319">
        <f t="shared" si="16"/>
        <v>16.821000000000002</v>
      </c>
      <c r="AA14" s="321">
        <f t="shared" si="17"/>
        <v>5</v>
      </c>
      <c r="AB14" s="385">
        <f t="shared" si="18"/>
        <v>116.71196806374394</v>
      </c>
      <c r="AC14" s="305" cm="1">
        <f t="array" ref="AC14">SUMPRODUCT((AB14&lt;=AB$12:AB$41)/COUNTIF(AB$12:AB$41,AB$12:AB$41))</f>
        <v>2</v>
      </c>
      <c r="AD14" s="319">
        <v>148.30000000000001</v>
      </c>
      <c r="AE14" s="321" cm="1">
        <f t="array" ref="AE14">SUMPRODUCT((AD14&lt;=AD$12:AD$41)/COUNTIF(AD$12:AD$41,AD$12:AD$41))</f>
        <v>2</v>
      </c>
      <c r="AF14" s="305" cm="1">
        <f t="array" aca="1" ref="AF14" ca="1">ROUNDUP(SUMPRODUCT(--($D$7:$AE$7=AF$7),$D14:$AE14,$D$3:$AE$3),3)</f>
        <v>3.5</v>
      </c>
      <c r="AG14" s="305">
        <f t="shared" ca="1" si="19"/>
        <v>5</v>
      </c>
      <c r="AH14" s="307" cm="1">
        <f t="array" aca="1" ref="AH14" ca="1">ROUNDUP(SUMPRODUCT(--($D$7:$AE$7=AH$7),$D14:$AE14,$D$3:$AE$3),3)</f>
        <v>3.5</v>
      </c>
      <c r="AI14" s="307">
        <f t="shared" ca="1" si="20"/>
        <v>5</v>
      </c>
      <c r="AJ14" s="516">
        <f t="shared" ca="1" si="21"/>
        <v>0</v>
      </c>
      <c r="AK14" s="316" t="s">
        <v>26</v>
      </c>
      <c r="AL14" s="322" t="s">
        <v>5</v>
      </c>
    </row>
    <row r="15" spans="1:38" s="445" customFormat="1" ht="12.75" customHeight="1">
      <c r="B15" s="315" t="s">
        <v>5</v>
      </c>
      <c r="C15" s="316" t="s">
        <v>25</v>
      </c>
      <c r="D15" s="384">
        <v>40.361289504478108</v>
      </c>
      <c r="E15" s="305">
        <f t="shared" si="5"/>
        <v>3</v>
      </c>
      <c r="F15" s="319">
        <v>36.86</v>
      </c>
      <c r="G15" s="321">
        <f t="shared" si="6"/>
        <v>3</v>
      </c>
      <c r="H15" s="385">
        <v>2.5714811659887253</v>
      </c>
      <c r="I15" s="305">
        <f t="shared" si="7"/>
        <v>5</v>
      </c>
      <c r="J15" s="319">
        <v>1.8</v>
      </c>
      <c r="K15" s="386">
        <f t="shared" si="8"/>
        <v>3</v>
      </c>
      <c r="L15" s="384">
        <v>8.4299368527591387E-2</v>
      </c>
      <c r="M15" s="305">
        <f t="shared" si="9"/>
        <v>8</v>
      </c>
      <c r="N15" s="319">
        <v>0.12</v>
      </c>
      <c r="O15" s="307">
        <f t="shared" si="10"/>
        <v>7</v>
      </c>
      <c r="P15" s="384">
        <v>1.3877043214633395E-2</v>
      </c>
      <c r="Q15" s="305">
        <f t="shared" si="11"/>
        <v>7</v>
      </c>
      <c r="R15" s="319">
        <v>0.09</v>
      </c>
      <c r="S15" s="321">
        <f t="shared" si="4"/>
        <v>5</v>
      </c>
      <c r="T15" s="384">
        <v>2.2742310999999997</v>
      </c>
      <c r="U15" s="305">
        <f t="shared" si="12"/>
        <v>3</v>
      </c>
      <c r="V15" s="319">
        <v>4.4978786411157774</v>
      </c>
      <c r="W15" s="321">
        <f t="shared" si="13"/>
        <v>3</v>
      </c>
      <c r="X15" s="384">
        <f t="shared" si="14"/>
        <v>45.305178182209062</v>
      </c>
      <c r="Y15" s="305">
        <f t="shared" si="15"/>
        <v>3</v>
      </c>
      <c r="Z15" s="319">
        <f t="shared" si="16"/>
        <v>43.367878641115773</v>
      </c>
      <c r="AA15" s="321">
        <f t="shared" si="17"/>
        <v>3</v>
      </c>
      <c r="AB15" s="385">
        <f t="shared" si="18"/>
        <v>116.71196806374394</v>
      </c>
      <c r="AC15" s="305" cm="1">
        <f t="array" ref="AC15">SUMPRODUCT((AB15&lt;=AB$12:AB$41)/COUNTIF(AB$12:AB$41,AB$12:AB$41))</f>
        <v>2</v>
      </c>
      <c r="AD15" s="307">
        <v>148.30000000000001</v>
      </c>
      <c r="AE15" s="321" cm="1">
        <f t="array" ref="AE15">SUMPRODUCT((AD15&lt;=AD$12:AD$41)/COUNTIF(AD$12:AD$41,AD$12:AD$41))</f>
        <v>2</v>
      </c>
      <c r="AF15" s="305" cm="1">
        <f t="array" aca="1" ref="AF15" ca="1">ROUNDUP(SUMPRODUCT(--($D$7:$AE$7=AF$7),$D15:$AE15,$D$3:$AE$3),3)</f>
        <v>2.5</v>
      </c>
      <c r="AG15" s="305">
        <f t="shared" ca="1" si="19"/>
        <v>2</v>
      </c>
      <c r="AH15" s="307" cm="1">
        <f t="array" aca="1" ref="AH15" ca="1">ROUNDUP(SUMPRODUCT(--($D$7:$AE$7=AH$7),$D15:$AE15,$D$3:$AE$3),3)</f>
        <v>2.5</v>
      </c>
      <c r="AI15" s="307">
        <f t="shared" ca="1" si="20"/>
        <v>2</v>
      </c>
      <c r="AJ15" s="516">
        <f t="shared" ca="1" si="21"/>
        <v>0</v>
      </c>
      <c r="AK15" s="316" t="s">
        <v>25</v>
      </c>
      <c r="AL15" s="322" t="s">
        <v>5</v>
      </c>
    </row>
    <row r="16" spans="1:38" s="445" customFormat="1" ht="12.75" customHeight="1">
      <c r="B16" s="315" t="s">
        <v>5</v>
      </c>
      <c r="C16" s="316" t="s">
        <v>55</v>
      </c>
      <c r="D16" s="384">
        <v>0.19323480819820146</v>
      </c>
      <c r="E16" s="305">
        <f t="shared" si="5"/>
        <v>20</v>
      </c>
      <c r="F16" s="319">
        <v>0.49</v>
      </c>
      <c r="G16" s="321">
        <f t="shared" si="6"/>
        <v>20</v>
      </c>
      <c r="H16" s="385">
        <v>5.1337902898813154E-2</v>
      </c>
      <c r="I16" s="305">
        <f t="shared" si="7"/>
        <v>19</v>
      </c>
      <c r="J16" s="319">
        <v>0.05</v>
      </c>
      <c r="K16" s="386">
        <f t="shared" si="8"/>
        <v>12</v>
      </c>
      <c r="L16" s="384">
        <v>3.08689582235576E-3</v>
      </c>
      <c r="M16" s="305">
        <f t="shared" si="9"/>
        <v>25</v>
      </c>
      <c r="N16" s="319">
        <v>0.01</v>
      </c>
      <c r="O16" s="307">
        <f t="shared" si="10"/>
        <v>18</v>
      </c>
      <c r="P16" s="384">
        <v>5.9546600727842331E-3</v>
      </c>
      <c r="Q16" s="305">
        <f t="shared" si="11"/>
        <v>10</v>
      </c>
      <c r="R16" s="319">
        <v>0</v>
      </c>
      <c r="S16" s="321">
        <f t="shared" si="4"/>
        <v>13</v>
      </c>
      <c r="T16" s="384">
        <v>1.408191785E-2</v>
      </c>
      <c r="U16" s="305">
        <f t="shared" si="12"/>
        <v>21</v>
      </c>
      <c r="V16" s="319">
        <v>2.8886646669999998E-2</v>
      </c>
      <c r="W16" s="321">
        <f t="shared" si="13"/>
        <v>20</v>
      </c>
      <c r="X16" s="384">
        <f t="shared" si="14"/>
        <v>0.26769618484215463</v>
      </c>
      <c r="Y16" s="305">
        <f t="shared" si="15"/>
        <v>22</v>
      </c>
      <c r="Z16" s="319">
        <f t="shared" si="16"/>
        <v>0.57888664667</v>
      </c>
      <c r="AA16" s="321">
        <f t="shared" si="17"/>
        <v>22</v>
      </c>
      <c r="AB16" s="385">
        <f t="shared" si="18"/>
        <v>116.71196806374394</v>
      </c>
      <c r="AC16" s="305" cm="1">
        <f t="array" ref="AC16">SUMPRODUCT((AB16&lt;=AB$12:AB$41)/COUNTIF(AB$12:AB$41,AB$12:AB$41))</f>
        <v>2</v>
      </c>
      <c r="AD16" s="307">
        <v>148.30000000000001</v>
      </c>
      <c r="AE16" s="321" cm="1">
        <f t="array" ref="AE16">SUMPRODUCT((AD16&lt;=AD$12:AD$41)/COUNTIF(AD$12:AD$41,AD$12:AD$41))</f>
        <v>2</v>
      </c>
      <c r="AF16" s="305" cm="1">
        <f t="array" aca="1" ref="AF16" ca="1">ROUNDUP(SUMPRODUCT(--($D$7:$AE$7=AF$7),$D16:$AE16,$D$3:$AE$3),3)</f>
        <v>12</v>
      </c>
      <c r="AG16" s="305">
        <f t="shared" ca="1" si="19"/>
        <v>20</v>
      </c>
      <c r="AH16" s="307" cm="1">
        <f t="array" aca="1" ref="AH16" ca="1">ROUNDUP(SUMPRODUCT(--($D$7:$AE$7=AH$7),$D16:$AE16,$D$3:$AE$3),3)</f>
        <v>12</v>
      </c>
      <c r="AI16" s="307">
        <f t="shared" ca="1" si="20"/>
        <v>21</v>
      </c>
      <c r="AJ16" s="516">
        <f t="shared" ca="1" si="21"/>
        <v>-1</v>
      </c>
      <c r="AK16" s="316" t="s">
        <v>55</v>
      </c>
      <c r="AL16" s="322" t="s">
        <v>5</v>
      </c>
    </row>
    <row r="17" spans="2:38" s="445" customFormat="1" ht="12.75" customHeight="1">
      <c r="B17" s="315" t="s">
        <v>5</v>
      </c>
      <c r="C17" s="316" t="s">
        <v>339</v>
      </c>
      <c r="D17" s="384">
        <v>8.9519113139826807</v>
      </c>
      <c r="E17" s="305">
        <f t="shared" si="5"/>
        <v>6</v>
      </c>
      <c r="F17" s="319">
        <v>7.63</v>
      </c>
      <c r="G17" s="321">
        <f t="shared" si="6"/>
        <v>9</v>
      </c>
      <c r="H17" s="385">
        <v>0.12550126816401708</v>
      </c>
      <c r="I17" s="305">
        <f t="shared" si="7"/>
        <v>14</v>
      </c>
      <c r="J17" s="319">
        <v>0.64</v>
      </c>
      <c r="K17" s="386">
        <f t="shared" si="8"/>
        <v>7</v>
      </c>
      <c r="L17" s="384">
        <v>5.9679985898878032E-2</v>
      </c>
      <c r="M17" s="305">
        <f t="shared" si="9"/>
        <v>12</v>
      </c>
      <c r="N17" s="319">
        <v>0.05</v>
      </c>
      <c r="O17" s="307">
        <f t="shared" si="10"/>
        <v>11</v>
      </c>
      <c r="P17" s="384">
        <v>5.9546600727842331E-3</v>
      </c>
      <c r="Q17" s="305">
        <f t="shared" si="11"/>
        <v>10</v>
      </c>
      <c r="R17" s="319">
        <v>0</v>
      </c>
      <c r="S17" s="321">
        <f t="shared" si="4"/>
        <v>13</v>
      </c>
      <c r="T17" s="384">
        <v>2.9143499999999999E-2</v>
      </c>
      <c r="U17" s="305">
        <f t="shared" si="12"/>
        <v>14</v>
      </c>
      <c r="V17" s="319">
        <v>4.3856115475000006E-2</v>
      </c>
      <c r="W17" s="321">
        <f t="shared" si="13"/>
        <v>17</v>
      </c>
      <c r="X17" s="384">
        <f t="shared" si="14"/>
        <v>9.1721907281183608</v>
      </c>
      <c r="Y17" s="305">
        <f t="shared" si="15"/>
        <v>7</v>
      </c>
      <c r="Z17" s="319">
        <f t="shared" si="16"/>
        <v>8.3638561154750004</v>
      </c>
      <c r="AA17" s="321">
        <f t="shared" si="17"/>
        <v>9</v>
      </c>
      <c r="AB17" s="385">
        <f t="shared" si="18"/>
        <v>116.71196806374394</v>
      </c>
      <c r="AC17" s="305" cm="1">
        <f t="array" ref="AC17">SUMPRODUCT((AB17&lt;=AB$12:AB$41)/COUNTIF(AB$12:AB$41,AB$12:AB$41))</f>
        <v>2</v>
      </c>
      <c r="AD17" s="307">
        <v>148.30000000000001</v>
      </c>
      <c r="AE17" s="321" cm="1">
        <f t="array" ref="AE17">SUMPRODUCT((AD17&lt;=AD$12:AD$41)/COUNTIF(AD$12:AD$41,AD$12:AD$41))</f>
        <v>2</v>
      </c>
      <c r="AF17" s="305" cm="1">
        <f t="array" aca="1" ref="AF17" ca="1">ROUNDUP(SUMPRODUCT(--($D$7:$AE$7=AF$7),$D17:$AE17,$D$3:$AE$3),3)</f>
        <v>4.5</v>
      </c>
      <c r="AG17" s="305">
        <f t="shared" ca="1" si="19"/>
        <v>7</v>
      </c>
      <c r="AH17" s="307" cm="1">
        <f t="array" aca="1" ref="AH17" ca="1">ROUNDUP(SUMPRODUCT(--($D$7:$AE$7=AH$7),$D17:$AE17,$D$3:$AE$3),3)</f>
        <v>5.5</v>
      </c>
      <c r="AI17" s="307">
        <f t="shared" ca="1" si="20"/>
        <v>9</v>
      </c>
      <c r="AJ17" s="516">
        <f t="shared" ca="1" si="21"/>
        <v>-2</v>
      </c>
      <c r="AK17" s="316" t="s">
        <v>339</v>
      </c>
      <c r="AL17" s="322" t="s">
        <v>5</v>
      </c>
    </row>
    <row r="18" spans="2:38" s="445" customFormat="1" ht="12.75" customHeight="1">
      <c r="B18" s="315" t="s">
        <v>5</v>
      </c>
      <c r="C18" s="316" t="s">
        <v>27</v>
      </c>
      <c r="D18" s="384">
        <v>0.63867086096152892</v>
      </c>
      <c r="E18" s="305">
        <f t="shared" si="5"/>
        <v>15</v>
      </c>
      <c r="F18" s="319">
        <v>1.1000000000000001</v>
      </c>
      <c r="G18" s="321">
        <f t="shared" si="6"/>
        <v>15</v>
      </c>
      <c r="H18" s="385">
        <v>0.17745956868094279</v>
      </c>
      <c r="I18" s="305">
        <f t="shared" si="7"/>
        <v>10</v>
      </c>
      <c r="J18" s="319">
        <v>0.13</v>
      </c>
      <c r="K18" s="386">
        <f t="shared" si="8"/>
        <v>10</v>
      </c>
      <c r="L18" s="384">
        <v>2.9839992949439016E-2</v>
      </c>
      <c r="M18" s="305">
        <f t="shared" si="9"/>
        <v>16</v>
      </c>
      <c r="N18" s="319">
        <v>0.03</v>
      </c>
      <c r="O18" s="307">
        <f t="shared" si="10"/>
        <v>15</v>
      </c>
      <c r="P18" s="384">
        <v>5.9546600727842331E-3</v>
      </c>
      <c r="Q18" s="305">
        <f t="shared" si="11"/>
        <v>10</v>
      </c>
      <c r="R18" s="319">
        <v>0.01</v>
      </c>
      <c r="S18" s="321">
        <f t="shared" si="4"/>
        <v>11</v>
      </c>
      <c r="T18" s="384">
        <v>2.4140430599999999E-2</v>
      </c>
      <c r="U18" s="305">
        <f t="shared" si="12"/>
        <v>17</v>
      </c>
      <c r="V18" s="319">
        <v>4.9519965720000003E-2</v>
      </c>
      <c r="W18" s="321">
        <f t="shared" si="13"/>
        <v>16</v>
      </c>
      <c r="X18" s="384">
        <f t="shared" si="14"/>
        <v>0.87606551326469506</v>
      </c>
      <c r="Y18" s="305">
        <f t="shared" si="15"/>
        <v>16</v>
      </c>
      <c r="Z18" s="319">
        <f t="shared" si="16"/>
        <v>1.3195199657200001</v>
      </c>
      <c r="AA18" s="321">
        <f t="shared" si="17"/>
        <v>15</v>
      </c>
      <c r="AB18" s="385">
        <f t="shared" si="18"/>
        <v>116.71196806374394</v>
      </c>
      <c r="AC18" s="305" cm="1">
        <f t="array" ref="AC18">SUMPRODUCT((AB18&lt;=AB$12:AB$41)/COUNTIF(AB$12:AB$41,AB$12:AB$41))</f>
        <v>2</v>
      </c>
      <c r="AD18" s="307">
        <v>148.30000000000001</v>
      </c>
      <c r="AE18" s="321" cm="1">
        <f t="array" ref="AE18">SUMPRODUCT((AD18&lt;=AD$12:AD$41)/COUNTIF(AD$12:AD$41,AD$12:AD$41))</f>
        <v>2</v>
      </c>
      <c r="AF18" s="305" cm="1">
        <f t="array" aca="1" ref="AF18" ca="1">ROUNDUP(SUMPRODUCT(--($D$7:$AE$7=AF$7),$D18:$AE18,$D$3:$AE$3),3)</f>
        <v>9</v>
      </c>
      <c r="AG18" s="305">
        <f t="shared" ca="1" si="19"/>
        <v>15</v>
      </c>
      <c r="AH18" s="307" cm="1">
        <f t="array" aca="1" ref="AH18" ca="1">ROUNDUP(SUMPRODUCT(--($D$7:$AE$7=AH$7),$D18:$AE18,$D$3:$AE$3),3)</f>
        <v>8.5</v>
      </c>
      <c r="AI18" s="307">
        <f t="shared" ca="1" si="20"/>
        <v>14</v>
      </c>
      <c r="AJ18" s="516">
        <f t="shared" ca="1" si="21"/>
        <v>1</v>
      </c>
      <c r="AK18" s="316" t="s">
        <v>27</v>
      </c>
      <c r="AL18" s="322" t="s">
        <v>5</v>
      </c>
    </row>
    <row r="19" spans="2:38" s="445" customFormat="1" ht="12.75" customHeight="1">
      <c r="B19" s="315" t="s">
        <v>5</v>
      </c>
      <c r="C19" s="316" t="s">
        <v>340</v>
      </c>
      <c r="D19" s="384">
        <v>0.11470103235372403</v>
      </c>
      <c r="E19" s="305">
        <f t="shared" si="5"/>
        <v>21</v>
      </c>
      <c r="F19" s="319">
        <v>0.23</v>
      </c>
      <c r="G19" s="321">
        <f t="shared" si="6"/>
        <v>22</v>
      </c>
      <c r="H19" s="385">
        <v>3.0502882890533503E-2</v>
      </c>
      <c r="I19" s="305">
        <f t="shared" si="7"/>
        <v>21</v>
      </c>
      <c r="J19" s="319">
        <v>0.01</v>
      </c>
      <c r="K19" s="386">
        <f t="shared" si="8"/>
        <v>15</v>
      </c>
      <c r="L19" s="384">
        <v>3.6013784594150534E-3</v>
      </c>
      <c r="M19" s="305">
        <f t="shared" si="9"/>
        <v>24</v>
      </c>
      <c r="N19" s="319">
        <v>0</v>
      </c>
      <c r="O19" s="307">
        <f t="shared" si="10"/>
        <v>23</v>
      </c>
      <c r="P19" s="384">
        <v>5.9546600727842331E-3</v>
      </c>
      <c r="Q19" s="305">
        <f t="shared" si="11"/>
        <v>10</v>
      </c>
      <c r="R19" s="319">
        <v>0</v>
      </c>
      <c r="S19" s="321">
        <f t="shared" si="4"/>
        <v>13</v>
      </c>
      <c r="T19" s="384">
        <v>1.408191785E-2</v>
      </c>
      <c r="U19" s="305">
        <f t="shared" si="12"/>
        <v>21</v>
      </c>
      <c r="V19" s="319">
        <v>2.8886646669999998E-2</v>
      </c>
      <c r="W19" s="321">
        <f t="shared" si="13"/>
        <v>20</v>
      </c>
      <c r="X19" s="384">
        <f t="shared" si="14"/>
        <v>0.16884187162645681</v>
      </c>
      <c r="Y19" s="305">
        <f t="shared" si="15"/>
        <v>25</v>
      </c>
      <c r="Z19" s="319">
        <f t="shared" si="16"/>
        <v>0.26888664667000001</v>
      </c>
      <c r="AA19" s="321">
        <f t="shared" si="17"/>
        <v>25</v>
      </c>
      <c r="AB19" s="385">
        <f t="shared" si="18"/>
        <v>116.71196806374394</v>
      </c>
      <c r="AC19" s="305" cm="1">
        <f t="array" ref="AC19">SUMPRODUCT((AB19&lt;=AB$12:AB$41)/COUNTIF(AB$12:AB$41,AB$12:AB$41))</f>
        <v>2</v>
      </c>
      <c r="AD19" s="319">
        <v>148.30000000000001</v>
      </c>
      <c r="AE19" s="321" cm="1">
        <f t="array" ref="AE19">SUMPRODUCT((AD19&lt;=AD$12:AD$41)/COUNTIF(AD$12:AD$41,AD$12:AD$41))</f>
        <v>2</v>
      </c>
      <c r="AF19" s="305" cm="1">
        <f t="array" aca="1" ref="AF19" ca="1">ROUNDUP(SUMPRODUCT(--($D$7:$AE$7=AF$7),$D19:$AE19,$D$3:$AE$3),3)</f>
        <v>13.5</v>
      </c>
      <c r="AG19" s="305">
        <f t="shared" ca="1" si="19"/>
        <v>24</v>
      </c>
      <c r="AH19" s="307" cm="1">
        <f t="array" aca="1" ref="AH19" ca="1">ROUNDUP(SUMPRODUCT(--($D$7:$AE$7=AH$7),$D19:$AE19,$D$3:$AE$3),3)</f>
        <v>13.5</v>
      </c>
      <c r="AI19" s="307">
        <f t="shared" ca="1" si="20"/>
        <v>23</v>
      </c>
      <c r="AJ19" s="516">
        <f t="shared" ca="1" si="21"/>
        <v>1</v>
      </c>
      <c r="AK19" s="316" t="s">
        <v>340</v>
      </c>
      <c r="AL19" s="322" t="s">
        <v>5</v>
      </c>
    </row>
    <row r="20" spans="2:38" s="445" customFormat="1" ht="12.75" customHeight="1">
      <c r="B20" s="315" t="s">
        <v>5</v>
      </c>
      <c r="C20" s="316" t="s">
        <v>28</v>
      </c>
      <c r="D20" s="384">
        <v>6.5243897798110382</v>
      </c>
      <c r="E20" s="305">
        <f t="shared" si="5"/>
        <v>8</v>
      </c>
      <c r="F20" s="319">
        <v>8.15</v>
      </c>
      <c r="G20" s="321">
        <f t="shared" si="6"/>
        <v>8</v>
      </c>
      <c r="H20" s="385">
        <v>0.17329773465943779</v>
      </c>
      <c r="I20" s="305">
        <f t="shared" si="7"/>
        <v>11</v>
      </c>
      <c r="J20" s="319">
        <v>0.46</v>
      </c>
      <c r="K20" s="386">
        <f t="shared" si="8"/>
        <v>8</v>
      </c>
      <c r="L20" s="384">
        <v>7.3313775780949289E-2</v>
      </c>
      <c r="M20" s="305">
        <f t="shared" si="9"/>
        <v>11</v>
      </c>
      <c r="N20" s="319">
        <v>0.05</v>
      </c>
      <c r="O20" s="307">
        <f t="shared" si="10"/>
        <v>11</v>
      </c>
      <c r="P20" s="384">
        <v>5.9546600727842331E-3</v>
      </c>
      <c r="Q20" s="305">
        <f t="shared" si="11"/>
        <v>10</v>
      </c>
      <c r="R20" s="319">
        <v>0</v>
      </c>
      <c r="S20" s="321">
        <f t="shared" si="4"/>
        <v>13</v>
      </c>
      <c r="T20" s="384">
        <v>2.9143499999999999E-2</v>
      </c>
      <c r="U20" s="305">
        <f t="shared" si="12"/>
        <v>14</v>
      </c>
      <c r="V20" s="319">
        <v>4.3856115475000006E-2</v>
      </c>
      <c r="W20" s="321">
        <f t="shared" si="13"/>
        <v>17</v>
      </c>
      <c r="X20" s="384">
        <f t="shared" si="14"/>
        <v>6.8060994503242096</v>
      </c>
      <c r="Y20" s="305">
        <f t="shared" si="15"/>
        <v>8</v>
      </c>
      <c r="Z20" s="319">
        <f t="shared" si="16"/>
        <v>8.703856115475002</v>
      </c>
      <c r="AA20" s="321">
        <f t="shared" si="17"/>
        <v>8</v>
      </c>
      <c r="AB20" s="385">
        <f t="shared" si="18"/>
        <v>116.71196806374394</v>
      </c>
      <c r="AC20" s="305" cm="1">
        <f t="array" ref="AC20">SUMPRODUCT((AB20&lt;=AB$12:AB$41)/COUNTIF(AB$12:AB$41,AB$12:AB$41))</f>
        <v>2</v>
      </c>
      <c r="AD20" s="319">
        <v>148.30000000000001</v>
      </c>
      <c r="AE20" s="321" cm="1">
        <f t="array" ref="AE20">SUMPRODUCT((AD20&lt;=AD$12:AD$41)/COUNTIF(AD$12:AD$41,AD$12:AD$41))</f>
        <v>2</v>
      </c>
      <c r="AF20" s="305" cm="1">
        <f t="array" aca="1" ref="AF20" ca="1">ROUNDUP(SUMPRODUCT(--($D$7:$AE$7=AF$7),$D20:$AE20,$D$3:$AE$3),3)</f>
        <v>5</v>
      </c>
      <c r="AG20" s="305">
        <f t="shared" ca="1" si="19"/>
        <v>8</v>
      </c>
      <c r="AH20" s="307" cm="1">
        <f t="array" aca="1" ref="AH20" ca="1">ROUNDUP(SUMPRODUCT(--($D$7:$AE$7=AH$7),$D20:$AE20,$D$3:$AE$3),3)</f>
        <v>5</v>
      </c>
      <c r="AI20" s="307">
        <f t="shared" ca="1" si="20"/>
        <v>7</v>
      </c>
      <c r="AJ20" s="516">
        <f t="shared" ca="1" si="21"/>
        <v>1</v>
      </c>
      <c r="AK20" s="316" t="s">
        <v>28</v>
      </c>
      <c r="AL20" s="322" t="s">
        <v>5</v>
      </c>
    </row>
    <row r="21" spans="2:38" s="445" customFormat="1" ht="12.75" customHeight="1">
      <c r="B21" s="315" t="s">
        <v>5</v>
      </c>
      <c r="C21" s="316" t="s">
        <v>341</v>
      </c>
      <c r="D21" s="384">
        <v>0.20352910403498556</v>
      </c>
      <c r="E21" s="305">
        <f t="shared" si="5"/>
        <v>19</v>
      </c>
      <c r="F21" s="319">
        <v>0.81</v>
      </c>
      <c r="G21" s="321">
        <f t="shared" si="6"/>
        <v>16</v>
      </c>
      <c r="H21" s="385">
        <v>0.21607932040844877</v>
      </c>
      <c r="I21" s="305">
        <f t="shared" si="7"/>
        <v>9</v>
      </c>
      <c r="J21" s="319">
        <v>0</v>
      </c>
      <c r="K21" s="386">
        <f t="shared" si="8"/>
        <v>17</v>
      </c>
      <c r="L21" s="384">
        <v>0.84372763202181755</v>
      </c>
      <c r="M21" s="305">
        <f t="shared" si="9"/>
        <v>2</v>
      </c>
      <c r="N21" s="319">
        <v>0</v>
      </c>
      <c r="O21" s="307">
        <f t="shared" si="10"/>
        <v>23</v>
      </c>
      <c r="P21" s="384">
        <v>0</v>
      </c>
      <c r="Q21" s="305">
        <f t="shared" si="11"/>
        <v>22</v>
      </c>
      <c r="R21" s="319">
        <v>0</v>
      </c>
      <c r="S21" s="321">
        <f t="shared" si="4"/>
        <v>13</v>
      </c>
      <c r="T21" s="384">
        <v>1.4380822430000001E-2</v>
      </c>
      <c r="U21" s="305">
        <f t="shared" si="12"/>
        <v>20</v>
      </c>
      <c r="V21" s="319">
        <v>0.01</v>
      </c>
      <c r="W21" s="321">
        <f t="shared" si="13"/>
        <v>26</v>
      </c>
      <c r="X21" s="384">
        <f t="shared" si="14"/>
        <v>1.2777168788952518</v>
      </c>
      <c r="Y21" s="305">
        <f t="shared" si="15"/>
        <v>14</v>
      </c>
      <c r="Z21" s="319">
        <f t="shared" si="16"/>
        <v>0.82000000000000006</v>
      </c>
      <c r="AA21" s="321">
        <f t="shared" si="17"/>
        <v>18</v>
      </c>
      <c r="AB21" s="385">
        <f t="shared" si="18"/>
        <v>116.71196806374394</v>
      </c>
      <c r="AC21" s="305" cm="1">
        <f t="array" ref="AC21">SUMPRODUCT((AB21&lt;=AB$12:AB$41)/COUNTIF(AB$12:AB$41,AB$12:AB$41))</f>
        <v>2</v>
      </c>
      <c r="AD21" s="319">
        <v>148.30000000000001</v>
      </c>
      <c r="AE21" s="321" cm="1">
        <f t="array" ref="AE21">SUMPRODUCT((AD21&lt;=AD$12:AD$41)/COUNTIF(AD$12:AD$41,AD$12:AD$41))</f>
        <v>2</v>
      </c>
      <c r="AF21" s="305" cm="1">
        <f t="array" aca="1" ref="AF21" ca="1">ROUNDUP(SUMPRODUCT(--($D$7:$AE$7=AF$7),$D21:$AE21,$D$3:$AE$3),3)</f>
        <v>8</v>
      </c>
      <c r="AG21" s="305">
        <f t="shared" ca="1" si="19"/>
        <v>13</v>
      </c>
      <c r="AH21" s="307" cm="1">
        <f t="array" aca="1" ref="AH21" ca="1">ROUNDUP(SUMPRODUCT(--($D$7:$AE$7=AH$7),$D21:$AE21,$D$3:$AE$3),3)</f>
        <v>10</v>
      </c>
      <c r="AI21" s="307">
        <f t="shared" ca="1" si="20"/>
        <v>16</v>
      </c>
      <c r="AJ21" s="516">
        <f t="shared" ca="1" si="21"/>
        <v>-3</v>
      </c>
      <c r="AK21" s="316" t="s">
        <v>341</v>
      </c>
      <c r="AL21" s="322" t="s">
        <v>5</v>
      </c>
    </row>
    <row r="22" spans="2:38" s="445" customFormat="1" ht="12.75" customHeight="1">
      <c r="B22" s="323" t="s">
        <v>5</v>
      </c>
      <c r="C22" s="324" t="s">
        <v>342</v>
      </c>
      <c r="D22" s="387">
        <v>23.223392653058848</v>
      </c>
      <c r="E22" s="326">
        <f t="shared" si="5"/>
        <v>4</v>
      </c>
      <c r="F22" s="331">
        <v>22.01</v>
      </c>
      <c r="G22" s="333">
        <f t="shared" si="6"/>
        <v>4</v>
      </c>
      <c r="H22" s="388">
        <v>3.0744945176596294</v>
      </c>
      <c r="I22" s="326">
        <f t="shared" si="7"/>
        <v>2</v>
      </c>
      <c r="J22" s="331">
        <v>1.4</v>
      </c>
      <c r="K22" s="389">
        <f t="shared" si="8"/>
        <v>5</v>
      </c>
      <c r="L22" s="387">
        <v>8.463125580525907E-2</v>
      </c>
      <c r="M22" s="326">
        <f t="shared" si="9"/>
        <v>7</v>
      </c>
      <c r="N22" s="331">
        <v>0.05</v>
      </c>
      <c r="O22" s="328">
        <f t="shared" si="10"/>
        <v>11</v>
      </c>
      <c r="P22" s="387">
        <v>7.7125121047798995E-3</v>
      </c>
      <c r="Q22" s="326">
        <f t="shared" si="11"/>
        <v>9</v>
      </c>
      <c r="R22" s="331">
        <v>0.04</v>
      </c>
      <c r="S22" s="333">
        <f t="shared" si="4"/>
        <v>6</v>
      </c>
      <c r="T22" s="387">
        <v>0.90575000000000006</v>
      </c>
      <c r="U22" s="326">
        <f t="shared" si="12"/>
        <v>6</v>
      </c>
      <c r="V22" s="331">
        <v>1.3815172138255334</v>
      </c>
      <c r="W22" s="333">
        <f t="shared" si="13"/>
        <v>6</v>
      </c>
      <c r="X22" s="387">
        <f t="shared" si="14"/>
        <v>27.295980938628521</v>
      </c>
      <c r="Y22" s="326">
        <f t="shared" si="15"/>
        <v>4</v>
      </c>
      <c r="Z22" s="331">
        <f t="shared" si="16"/>
        <v>24.881517213825532</v>
      </c>
      <c r="AA22" s="333">
        <f t="shared" si="17"/>
        <v>4</v>
      </c>
      <c r="AB22" s="388">
        <f t="shared" si="18"/>
        <v>116.71196806374394</v>
      </c>
      <c r="AC22" s="326" cm="1">
        <f t="array" ref="AC22">SUMPRODUCT((AB22&lt;=AB$12:AB$41)/COUNTIF(AB$12:AB$41,AB$12:AB$41))</f>
        <v>2</v>
      </c>
      <c r="AD22" s="331">
        <v>148.30000000000001</v>
      </c>
      <c r="AE22" s="333" cm="1">
        <f t="array" ref="AE22">SUMPRODUCT((AD22&lt;=AD$12:AD$41)/COUNTIF(AD$12:AD$41,AD$12:AD$41))</f>
        <v>2</v>
      </c>
      <c r="AF22" s="326" cm="1">
        <f t="array" aca="1" ref="AF22" ca="1">ROUNDUP(SUMPRODUCT(--($D$7:$AE$7=AF$7),$D22:$AE22,$D$3:$AE$3),3)</f>
        <v>3</v>
      </c>
      <c r="AG22" s="326">
        <f t="shared" ca="1" si="19"/>
        <v>4</v>
      </c>
      <c r="AH22" s="328" cm="1">
        <f t="array" aca="1" ref="AH22" ca="1">ROUNDUP(SUMPRODUCT(--($D$7:$AE$7=AH$7),$D22:$AE22,$D$3:$AE$3),3)</f>
        <v>3</v>
      </c>
      <c r="AI22" s="328">
        <f t="shared" ca="1" si="20"/>
        <v>4</v>
      </c>
      <c r="AJ22" s="516">
        <f t="shared" ca="1" si="21"/>
        <v>0</v>
      </c>
      <c r="AK22" s="324" t="s">
        <v>342</v>
      </c>
      <c r="AL22" s="334" t="s">
        <v>5</v>
      </c>
    </row>
    <row r="23" spans="2:38" s="445" customFormat="1" ht="12.75" customHeight="1">
      <c r="B23" s="301" t="s">
        <v>40</v>
      </c>
      <c r="C23" s="302" t="s">
        <v>343</v>
      </c>
      <c r="D23" s="381">
        <v>0</v>
      </c>
      <c r="E23" s="304">
        <f t="shared" si="5"/>
        <v>30</v>
      </c>
      <c r="F23" s="309">
        <v>0</v>
      </c>
      <c r="G23" s="313">
        <f t="shared" si="6"/>
        <v>28</v>
      </c>
      <c r="H23" s="382">
        <v>0</v>
      </c>
      <c r="I23" s="304">
        <f t="shared" si="7"/>
        <v>29</v>
      </c>
      <c r="J23" s="309">
        <v>0</v>
      </c>
      <c r="K23" s="383">
        <f t="shared" si="8"/>
        <v>17</v>
      </c>
      <c r="L23" s="381">
        <v>0</v>
      </c>
      <c r="M23" s="304">
        <f t="shared" si="9"/>
        <v>29</v>
      </c>
      <c r="N23" s="309">
        <v>0</v>
      </c>
      <c r="O23" s="312">
        <f t="shared" si="10"/>
        <v>23</v>
      </c>
      <c r="P23" s="381">
        <v>0</v>
      </c>
      <c r="Q23" s="304">
        <f t="shared" si="11"/>
        <v>22</v>
      </c>
      <c r="R23" s="309">
        <v>0</v>
      </c>
      <c r="S23" s="313">
        <f t="shared" si="4"/>
        <v>13</v>
      </c>
      <c r="T23" s="381">
        <v>1.2347826086956523E-3</v>
      </c>
      <c r="U23" s="304">
        <f t="shared" si="12"/>
        <v>28</v>
      </c>
      <c r="V23" s="309">
        <v>1.2717391304347828E-3</v>
      </c>
      <c r="W23" s="313">
        <f t="shared" si="13"/>
        <v>29</v>
      </c>
      <c r="X23" s="381">
        <f t="shared" si="14"/>
        <v>1.2347826086956523E-3</v>
      </c>
      <c r="Y23" s="304">
        <f t="shared" si="15"/>
        <v>30</v>
      </c>
      <c r="Z23" s="309">
        <f t="shared" si="16"/>
        <v>1.2717391304347828E-3</v>
      </c>
      <c r="AA23" s="313">
        <f t="shared" si="17"/>
        <v>30</v>
      </c>
      <c r="AB23" s="382">
        <f t="shared" si="18"/>
        <v>0.15711286909346431</v>
      </c>
      <c r="AC23" s="304" cm="1">
        <f t="array" ref="AC23">SUMPRODUCT((AB23&lt;=AB$12:AB$41)/COUNTIF(AB$12:AB$41,AB$12:AB$41))</f>
        <v>6.0000000000000009</v>
      </c>
      <c r="AD23" s="309">
        <v>1.62</v>
      </c>
      <c r="AE23" s="313" cm="1">
        <f t="array" ref="AE23">SUMPRODUCT((AD23&lt;=AD$12:AD$41)/COUNTIF(AD$12:AD$41,AD$12:AD$41))</f>
        <v>6.0000000000000009</v>
      </c>
      <c r="AF23" s="304" cm="1">
        <f t="array" aca="1" ref="AF23" ca="1">ROUNDUP(SUMPRODUCT(--($D$7:$AE$7=AF$7),$D23:$AE23,$D$3:$AE$3),3)</f>
        <v>18</v>
      </c>
      <c r="AG23" s="304">
        <f t="shared" ca="1" si="19"/>
        <v>30</v>
      </c>
      <c r="AH23" s="312" cm="1">
        <f t="array" aca="1" ref="AH23" ca="1">ROUNDUP(SUMPRODUCT(--($D$7:$AE$7=AH$7),$D23:$AE23,$D$3:$AE$3),3)</f>
        <v>18</v>
      </c>
      <c r="AI23" s="312">
        <f t="shared" ca="1" si="20"/>
        <v>30</v>
      </c>
      <c r="AJ23" s="516">
        <f t="shared" ca="1" si="21"/>
        <v>0</v>
      </c>
      <c r="AK23" s="302" t="s">
        <v>343</v>
      </c>
      <c r="AL23" s="314" t="s">
        <v>40</v>
      </c>
    </row>
    <row r="24" spans="2:38" s="445" customFormat="1" ht="12.75" customHeight="1">
      <c r="B24" s="315" t="s">
        <v>40</v>
      </c>
      <c r="C24" s="316" t="s">
        <v>344</v>
      </c>
      <c r="D24" s="384">
        <v>2.1085075820809252E-2</v>
      </c>
      <c r="E24" s="305">
        <f t="shared" si="5"/>
        <v>27</v>
      </c>
      <c r="F24" s="319">
        <v>0</v>
      </c>
      <c r="G24" s="321">
        <f t="shared" si="6"/>
        <v>28</v>
      </c>
      <c r="H24" s="385">
        <v>9.8628200000000013E-3</v>
      </c>
      <c r="I24" s="305">
        <f t="shared" si="7"/>
        <v>26</v>
      </c>
      <c r="J24" s="319">
        <v>0</v>
      </c>
      <c r="K24" s="386">
        <f t="shared" si="8"/>
        <v>17</v>
      </c>
      <c r="L24" s="384">
        <v>6.1199999999999996E-3</v>
      </c>
      <c r="M24" s="305">
        <f t="shared" si="9"/>
        <v>21</v>
      </c>
      <c r="N24" s="319">
        <v>0</v>
      </c>
      <c r="O24" s="307">
        <f t="shared" si="10"/>
        <v>23</v>
      </c>
      <c r="P24" s="384">
        <v>0</v>
      </c>
      <c r="Q24" s="305">
        <f t="shared" si="11"/>
        <v>22</v>
      </c>
      <c r="R24" s="319">
        <v>0</v>
      </c>
      <c r="S24" s="321">
        <f t="shared" si="4"/>
        <v>13</v>
      </c>
      <c r="T24" s="384">
        <v>2.767783999999998E-3</v>
      </c>
      <c r="U24" s="305">
        <f t="shared" si="12"/>
        <v>27</v>
      </c>
      <c r="V24" s="319">
        <v>5.1832500000000004E-3</v>
      </c>
      <c r="W24" s="321">
        <f t="shared" si="13"/>
        <v>28</v>
      </c>
      <c r="X24" s="384">
        <f t="shared" si="14"/>
        <v>3.9835679820809246E-2</v>
      </c>
      <c r="Y24" s="305">
        <f t="shared" si="15"/>
        <v>28</v>
      </c>
      <c r="Z24" s="319">
        <f t="shared" si="16"/>
        <v>5.1832500000000004E-3</v>
      </c>
      <c r="AA24" s="321">
        <f t="shared" si="17"/>
        <v>29</v>
      </c>
      <c r="AB24" s="385">
        <f t="shared" si="18"/>
        <v>0.15711286909346431</v>
      </c>
      <c r="AC24" s="305" cm="1">
        <f t="array" ref="AC24">SUMPRODUCT((AB24&lt;=AB$12:AB$41)/COUNTIF(AB$12:AB$41,AB$12:AB$41))</f>
        <v>6.0000000000000009</v>
      </c>
      <c r="AD24" s="319">
        <v>1.62</v>
      </c>
      <c r="AE24" s="321" cm="1">
        <f t="array" ref="AE24">SUMPRODUCT((AD24&lt;=AD$12:AD$41)/COUNTIF(AD$12:AD$41,AD$12:AD$41))</f>
        <v>6.0000000000000009</v>
      </c>
      <c r="AF24" s="305" cm="1">
        <f t="array" aca="1" ref="AF24" ca="1">ROUNDUP(SUMPRODUCT(--($D$7:$AE$7=AF$7),$D24:$AE24,$D$3:$AE$3),3)</f>
        <v>17</v>
      </c>
      <c r="AG24" s="305">
        <f t="shared" ca="1" si="19"/>
        <v>28</v>
      </c>
      <c r="AH24" s="307" cm="1">
        <f t="array" aca="1" ref="AH24" ca="1">ROUNDUP(SUMPRODUCT(--($D$7:$AE$7=AH$7),$D24:$AE24,$D$3:$AE$3),3)</f>
        <v>17.5</v>
      </c>
      <c r="AI24" s="307">
        <f t="shared" ca="1" si="20"/>
        <v>29</v>
      </c>
      <c r="AJ24" s="516">
        <f t="shared" ca="1" si="21"/>
        <v>-1</v>
      </c>
      <c r="AK24" s="316" t="s">
        <v>344</v>
      </c>
      <c r="AL24" s="322" t="s">
        <v>40</v>
      </c>
    </row>
    <row r="25" spans="2:38" s="445" customFormat="1" ht="12.75" customHeight="1">
      <c r="B25" s="323" t="s">
        <v>40</v>
      </c>
      <c r="C25" s="324" t="s">
        <v>32</v>
      </c>
      <c r="D25" s="387">
        <v>3.4082436663959409E-2</v>
      </c>
      <c r="E25" s="326">
        <f t="shared" si="5"/>
        <v>25</v>
      </c>
      <c r="F25" s="331">
        <v>0.03</v>
      </c>
      <c r="G25" s="333">
        <f t="shared" si="6"/>
        <v>25</v>
      </c>
      <c r="H25" s="388">
        <v>2.5159970000000004E-2</v>
      </c>
      <c r="I25" s="326">
        <f t="shared" si="7"/>
        <v>22</v>
      </c>
      <c r="J25" s="331">
        <v>0</v>
      </c>
      <c r="K25" s="389">
        <f t="shared" si="8"/>
        <v>17</v>
      </c>
      <c r="L25" s="387">
        <v>0</v>
      </c>
      <c r="M25" s="326">
        <f t="shared" si="9"/>
        <v>29</v>
      </c>
      <c r="N25" s="331">
        <v>0</v>
      </c>
      <c r="O25" s="328">
        <f t="shared" si="10"/>
        <v>23</v>
      </c>
      <c r="P25" s="387">
        <v>0</v>
      </c>
      <c r="Q25" s="326">
        <f t="shared" si="11"/>
        <v>22</v>
      </c>
      <c r="R25" s="331">
        <v>0</v>
      </c>
      <c r="S25" s="333">
        <f t="shared" si="4"/>
        <v>13</v>
      </c>
      <c r="T25" s="387">
        <v>5.6800000000000003E-2</v>
      </c>
      <c r="U25" s="326">
        <f t="shared" si="12"/>
        <v>13</v>
      </c>
      <c r="V25" s="331">
        <v>5.8500000000000003E-2</v>
      </c>
      <c r="W25" s="333">
        <f t="shared" si="13"/>
        <v>15</v>
      </c>
      <c r="X25" s="387">
        <f t="shared" si="14"/>
        <v>0.11604240666395942</v>
      </c>
      <c r="Y25" s="326">
        <f t="shared" si="15"/>
        <v>26</v>
      </c>
      <c r="Z25" s="331">
        <f t="shared" si="16"/>
        <v>8.8499999999999995E-2</v>
      </c>
      <c r="AA25" s="333">
        <f t="shared" si="17"/>
        <v>26</v>
      </c>
      <c r="AB25" s="388">
        <f t="shared" si="18"/>
        <v>0.15711286909346431</v>
      </c>
      <c r="AC25" s="326" cm="1">
        <f t="array" ref="AC25">SUMPRODUCT((AB25&lt;=AB$12:AB$41)/COUNTIF(AB$12:AB$41,AB$12:AB$41))</f>
        <v>6.0000000000000009</v>
      </c>
      <c r="AD25" s="331">
        <v>1.62</v>
      </c>
      <c r="AE25" s="333" cm="1">
        <f t="array" ref="AE25">SUMPRODUCT((AD25&lt;=AD$12:AD$41)/COUNTIF(AD$12:AD$41,AD$12:AD$41))</f>
        <v>6.0000000000000009</v>
      </c>
      <c r="AF25" s="326" cm="1">
        <f t="array" aca="1" ref="AF25" ca="1">ROUNDUP(SUMPRODUCT(--($D$7:$AE$7=AF$7),$D25:$AE25,$D$3:$AE$3),3)</f>
        <v>16</v>
      </c>
      <c r="AG25" s="326">
        <f t="shared" ca="1" si="19"/>
        <v>26</v>
      </c>
      <c r="AH25" s="328" cm="1">
        <f t="array" aca="1" ref="AH25" ca="1">ROUNDUP(SUMPRODUCT(--($D$7:$AE$7=AH$7),$D25:$AE25,$D$3:$AE$3),3)</f>
        <v>16</v>
      </c>
      <c r="AI25" s="328">
        <f t="shared" ca="1" si="20"/>
        <v>26</v>
      </c>
      <c r="AJ25" s="516">
        <f t="shared" ca="1" si="21"/>
        <v>0</v>
      </c>
      <c r="AK25" s="324" t="s">
        <v>32</v>
      </c>
      <c r="AL25" s="334" t="s">
        <v>40</v>
      </c>
    </row>
    <row r="26" spans="2:38" s="445" customFormat="1" ht="12.75" customHeight="1">
      <c r="B26" s="337" t="s">
        <v>56</v>
      </c>
      <c r="C26" s="302" t="s">
        <v>29</v>
      </c>
      <c r="D26" s="381">
        <v>5.8960526633572439</v>
      </c>
      <c r="E26" s="304">
        <f t="shared" si="5"/>
        <v>9</v>
      </c>
      <c r="F26" s="309">
        <v>10.220000000000001</v>
      </c>
      <c r="G26" s="313">
        <f t="shared" si="6"/>
        <v>6</v>
      </c>
      <c r="H26" s="382">
        <v>0</v>
      </c>
      <c r="I26" s="304">
        <f t="shared" si="7"/>
        <v>29</v>
      </c>
      <c r="J26" s="309">
        <v>0.02</v>
      </c>
      <c r="K26" s="383">
        <f t="shared" si="8"/>
        <v>14</v>
      </c>
      <c r="L26" s="381">
        <v>9.010739588677584E-2</v>
      </c>
      <c r="M26" s="304">
        <f t="shared" si="9"/>
        <v>6</v>
      </c>
      <c r="N26" s="309">
        <v>0.08</v>
      </c>
      <c r="O26" s="312">
        <f t="shared" si="10"/>
        <v>9</v>
      </c>
      <c r="P26" s="381">
        <v>8.3461797138140672E-5</v>
      </c>
      <c r="Q26" s="304">
        <f t="shared" si="11"/>
        <v>20</v>
      </c>
      <c r="R26" s="309">
        <v>0</v>
      </c>
      <c r="S26" s="313">
        <f t="shared" si="4"/>
        <v>13</v>
      </c>
      <c r="T26" s="381">
        <v>5.770043416859604E-3</v>
      </c>
      <c r="U26" s="304">
        <f t="shared" si="12"/>
        <v>26</v>
      </c>
      <c r="V26" s="309">
        <v>0.26046705309885781</v>
      </c>
      <c r="W26" s="313">
        <f t="shared" si="13"/>
        <v>11</v>
      </c>
      <c r="X26" s="381">
        <f t="shared" si="14"/>
        <v>5.9920135644580172</v>
      </c>
      <c r="Y26" s="304">
        <f t="shared" si="15"/>
        <v>10</v>
      </c>
      <c r="Z26" s="309">
        <f t="shared" si="16"/>
        <v>10.580467053098857</v>
      </c>
      <c r="AA26" s="313">
        <f t="shared" si="17"/>
        <v>7</v>
      </c>
      <c r="AB26" s="382">
        <f t="shared" si="18"/>
        <v>77.073767996310778</v>
      </c>
      <c r="AC26" s="304" cm="1">
        <f t="array" ref="AC26">SUMPRODUCT((AB26&lt;=AB$12:AB$41)/COUNTIF(AB$12:AB$41,AB$12:AB$41))</f>
        <v>3.0000000000000004</v>
      </c>
      <c r="AD26" s="309">
        <v>119.8</v>
      </c>
      <c r="AE26" s="313" cm="1">
        <f t="array" ref="AE26">SUMPRODUCT((AD26&lt;=AD$12:AD$41)/COUNTIF(AD$12:AD$41,AD$12:AD$41))</f>
        <v>3.0000000000000004</v>
      </c>
      <c r="AF26" s="304" cm="1">
        <f t="array" aca="1" ref="AF26" ca="1">ROUNDUP(SUMPRODUCT(--($D$7:$AE$7=AF$7),$D26:$AE26,$D$3:$AE$3),3)</f>
        <v>6.5</v>
      </c>
      <c r="AG26" s="304">
        <f t="shared" ca="1" si="19"/>
        <v>10</v>
      </c>
      <c r="AH26" s="312" cm="1">
        <f t="array" aca="1" ref="AH26" ca="1">ROUNDUP(SUMPRODUCT(--($D$7:$AE$7=AH$7),$D26:$AE26,$D$3:$AE$3),3)</f>
        <v>5</v>
      </c>
      <c r="AI26" s="312">
        <f t="shared" ca="1" si="20"/>
        <v>7</v>
      </c>
      <c r="AJ26" s="516">
        <f t="shared" ca="1" si="21"/>
        <v>3</v>
      </c>
      <c r="AK26" s="302" t="s">
        <v>29</v>
      </c>
      <c r="AL26" s="338" t="s">
        <v>56</v>
      </c>
    </row>
    <row r="27" spans="2:38" s="445" customFormat="1" ht="12.75" customHeight="1">
      <c r="B27" s="339" t="s">
        <v>56</v>
      </c>
      <c r="C27" s="316" t="s">
        <v>12</v>
      </c>
      <c r="D27" s="384">
        <v>8.9620263264488173E-2</v>
      </c>
      <c r="E27" s="305">
        <f t="shared" si="5"/>
        <v>22</v>
      </c>
      <c r="F27" s="319">
        <v>0.6</v>
      </c>
      <c r="G27" s="321">
        <f t="shared" si="6"/>
        <v>18</v>
      </c>
      <c r="H27" s="385">
        <v>9.260713000000001E-2</v>
      </c>
      <c r="I27" s="305">
        <f t="shared" si="7"/>
        <v>16</v>
      </c>
      <c r="J27" s="319">
        <v>0</v>
      </c>
      <c r="K27" s="386">
        <f t="shared" si="8"/>
        <v>17</v>
      </c>
      <c r="L27" s="384">
        <v>2.0423999999999998E-2</v>
      </c>
      <c r="M27" s="305">
        <f t="shared" si="9"/>
        <v>18</v>
      </c>
      <c r="N27" s="319">
        <v>0.01</v>
      </c>
      <c r="O27" s="307">
        <f t="shared" si="10"/>
        <v>18</v>
      </c>
      <c r="P27" s="384">
        <v>0</v>
      </c>
      <c r="Q27" s="305">
        <f t="shared" si="11"/>
        <v>22</v>
      </c>
      <c r="R27" s="319">
        <v>0</v>
      </c>
      <c r="S27" s="321">
        <f t="shared" si="4"/>
        <v>13</v>
      </c>
      <c r="T27" s="384">
        <v>6.4943476841249986E-2</v>
      </c>
      <c r="U27" s="305">
        <f t="shared" si="12"/>
        <v>12</v>
      </c>
      <c r="V27" s="319">
        <v>0.19739999999999999</v>
      </c>
      <c r="W27" s="321">
        <f t="shared" si="13"/>
        <v>12</v>
      </c>
      <c r="X27" s="384">
        <f t="shared" si="14"/>
        <v>0.26759487010573813</v>
      </c>
      <c r="Y27" s="305">
        <f t="shared" si="15"/>
        <v>23</v>
      </c>
      <c r="Z27" s="319">
        <f t="shared" si="16"/>
        <v>0.80740000000000001</v>
      </c>
      <c r="AA27" s="321">
        <f t="shared" si="17"/>
        <v>19</v>
      </c>
      <c r="AB27" s="385">
        <f t="shared" si="18"/>
        <v>77.073767996310778</v>
      </c>
      <c r="AC27" s="305" cm="1">
        <f t="array" ref="AC27">SUMPRODUCT((AB27&lt;=AB$12:AB$41)/COUNTIF(AB$12:AB$41,AB$12:AB$41))</f>
        <v>3.0000000000000004</v>
      </c>
      <c r="AD27" s="319">
        <v>119.8</v>
      </c>
      <c r="AE27" s="321" cm="1">
        <f t="array" ref="AE27">SUMPRODUCT((AD27&lt;=AD$12:AD$41)/COUNTIF(AD$12:AD$41,AD$12:AD$41))</f>
        <v>3.0000000000000004</v>
      </c>
      <c r="AF27" s="305" cm="1">
        <f t="array" aca="1" ref="AF27" ca="1">ROUNDUP(SUMPRODUCT(--($D$7:$AE$7=AF$7),$D27:$AE27,$D$3:$AE$3),3)</f>
        <v>13</v>
      </c>
      <c r="AG27" s="305">
        <f t="shared" ca="1" si="19"/>
        <v>23</v>
      </c>
      <c r="AH27" s="307" cm="1">
        <f t="array" aca="1" ref="AH27" ca="1">ROUNDUP(SUMPRODUCT(--($D$7:$AE$7=AH$7),$D27:$AE27,$D$3:$AE$3),3)</f>
        <v>11</v>
      </c>
      <c r="AI27" s="307">
        <f t="shared" ca="1" si="20"/>
        <v>19</v>
      </c>
      <c r="AJ27" s="516">
        <f t="shared" ca="1" si="21"/>
        <v>4</v>
      </c>
      <c r="AK27" s="316" t="s">
        <v>12</v>
      </c>
      <c r="AL27" s="340" t="s">
        <v>56</v>
      </c>
    </row>
    <row r="28" spans="2:38" s="445" customFormat="1" ht="12.75" customHeight="1">
      <c r="B28" s="341" t="s">
        <v>56</v>
      </c>
      <c r="C28" s="324" t="s">
        <v>345</v>
      </c>
      <c r="D28" s="387">
        <v>55.940132623240899</v>
      </c>
      <c r="E28" s="326">
        <f t="shared" si="5"/>
        <v>2</v>
      </c>
      <c r="F28" s="331">
        <v>77.05</v>
      </c>
      <c r="G28" s="333">
        <f t="shared" si="6"/>
        <v>2</v>
      </c>
      <c r="H28" s="388">
        <v>1.2829289324531081</v>
      </c>
      <c r="I28" s="326">
        <f t="shared" si="7"/>
        <v>7</v>
      </c>
      <c r="J28" s="331">
        <v>1.48</v>
      </c>
      <c r="K28" s="389">
        <f t="shared" si="8"/>
        <v>4</v>
      </c>
      <c r="L28" s="387">
        <v>0.10952280163033526</v>
      </c>
      <c r="M28" s="326">
        <f t="shared" si="9"/>
        <v>4</v>
      </c>
      <c r="N28" s="331">
        <v>0.13</v>
      </c>
      <c r="O28" s="328">
        <f t="shared" si="10"/>
        <v>6</v>
      </c>
      <c r="P28" s="387">
        <v>2.7335521934474792E-3</v>
      </c>
      <c r="Q28" s="326">
        <f t="shared" si="11"/>
        <v>17</v>
      </c>
      <c r="R28" s="331">
        <v>0.03</v>
      </c>
      <c r="S28" s="333">
        <f t="shared" si="4"/>
        <v>8</v>
      </c>
      <c r="T28" s="387">
        <v>13.478841652229233</v>
      </c>
      <c r="U28" s="326">
        <f t="shared" si="12"/>
        <v>1</v>
      </c>
      <c r="V28" s="331">
        <v>30.49816553452159</v>
      </c>
      <c r="W28" s="333">
        <f t="shared" si="13"/>
        <v>2</v>
      </c>
      <c r="X28" s="387">
        <f t="shared" si="14"/>
        <v>70.814159561747019</v>
      </c>
      <c r="Y28" s="326">
        <f t="shared" si="15"/>
        <v>2</v>
      </c>
      <c r="Z28" s="331">
        <f t="shared" si="16"/>
        <v>109.18816553452159</v>
      </c>
      <c r="AA28" s="333">
        <f t="shared" si="17"/>
        <v>2</v>
      </c>
      <c r="AB28" s="388">
        <f t="shared" si="18"/>
        <v>77.073767996310778</v>
      </c>
      <c r="AC28" s="326" cm="1">
        <f t="array" ref="AC28">SUMPRODUCT((AB28&lt;=AB$12:AB$41)/COUNTIF(AB$12:AB$41,AB$12:AB$41))</f>
        <v>3.0000000000000004</v>
      </c>
      <c r="AD28" s="331">
        <v>119.8</v>
      </c>
      <c r="AE28" s="333" cm="1">
        <f t="array" ref="AE28">SUMPRODUCT((AD28&lt;=AD$12:AD$41)/COUNTIF(AD$12:AD$41,AD$12:AD$41))</f>
        <v>3.0000000000000004</v>
      </c>
      <c r="AF28" s="326" cm="1">
        <f t="array" aca="1" ref="AF28" ca="1">ROUNDUP(SUMPRODUCT(--($D$7:$AE$7=AF$7),$D28:$AE28,$D$3:$AE$3),3)</f>
        <v>2.5</v>
      </c>
      <c r="AG28" s="326">
        <f t="shared" ca="1" si="19"/>
        <v>2</v>
      </c>
      <c r="AH28" s="328" cm="1">
        <f t="array" aca="1" ref="AH28" ca="1">ROUNDUP(SUMPRODUCT(--($D$7:$AE$7=AH$7),$D28:$AE28,$D$3:$AE$3),3)</f>
        <v>2.5</v>
      </c>
      <c r="AI28" s="328">
        <f t="shared" ca="1" si="20"/>
        <v>2</v>
      </c>
      <c r="AJ28" s="516">
        <f t="shared" ca="1" si="21"/>
        <v>0</v>
      </c>
      <c r="AK28" s="324" t="s">
        <v>345</v>
      </c>
      <c r="AL28" s="342" t="s">
        <v>56</v>
      </c>
    </row>
    <row r="29" spans="2:38" s="445" customFormat="1" ht="12.75" customHeight="1">
      <c r="B29" s="301" t="s">
        <v>86</v>
      </c>
      <c r="C29" s="302" t="s">
        <v>59</v>
      </c>
      <c r="D29" s="381">
        <v>1.8313448087944089E-2</v>
      </c>
      <c r="E29" s="304">
        <f t="shared" si="5"/>
        <v>28</v>
      </c>
      <c r="F29" s="309">
        <v>0.02</v>
      </c>
      <c r="G29" s="313">
        <f t="shared" si="6"/>
        <v>26</v>
      </c>
      <c r="H29" s="382">
        <v>3.2689800000000005E-2</v>
      </c>
      <c r="I29" s="304">
        <f t="shared" si="7"/>
        <v>20</v>
      </c>
      <c r="J29" s="309">
        <v>0</v>
      </c>
      <c r="K29" s="383">
        <f t="shared" si="8"/>
        <v>17</v>
      </c>
      <c r="L29" s="381">
        <v>5.9199999999999999E-3</v>
      </c>
      <c r="M29" s="304">
        <f t="shared" si="9"/>
        <v>22</v>
      </c>
      <c r="N29" s="309">
        <v>0.01</v>
      </c>
      <c r="O29" s="312">
        <f t="shared" si="10"/>
        <v>18</v>
      </c>
      <c r="P29" s="381">
        <v>0</v>
      </c>
      <c r="Q29" s="304">
        <f t="shared" si="11"/>
        <v>22</v>
      </c>
      <c r="R29" s="309">
        <v>0</v>
      </c>
      <c r="S29" s="313">
        <f t="shared" si="4"/>
        <v>13</v>
      </c>
      <c r="T29" s="381">
        <v>6.3701439988219305E-3</v>
      </c>
      <c r="U29" s="304">
        <f t="shared" si="12"/>
        <v>24</v>
      </c>
      <c r="V29" s="309">
        <v>1.9190328259672498E-2</v>
      </c>
      <c r="W29" s="313">
        <f t="shared" si="13"/>
        <v>24</v>
      </c>
      <c r="X29" s="381">
        <f t="shared" si="14"/>
        <v>6.3293392086766029E-2</v>
      </c>
      <c r="Y29" s="304">
        <f t="shared" si="15"/>
        <v>27</v>
      </c>
      <c r="Z29" s="309">
        <f t="shared" si="16"/>
        <v>4.9190328259672497E-2</v>
      </c>
      <c r="AA29" s="313">
        <f t="shared" si="17"/>
        <v>27</v>
      </c>
      <c r="AB29" s="382">
        <f t="shared" si="18"/>
        <v>1.2367777209877688</v>
      </c>
      <c r="AC29" s="304" cm="1">
        <f t="array" ref="AC29">SUMPRODUCT((AB29&lt;=AB$12:AB$41)/COUNTIF(AB$12:AB$41,AB$12:AB$41))</f>
        <v>5.0000000000000018</v>
      </c>
      <c r="AD29" s="309">
        <v>4.5199999999999996</v>
      </c>
      <c r="AE29" s="313" cm="1">
        <f t="array" ref="AE29">SUMPRODUCT((AD29&lt;=AD$12:AD$41)/COUNTIF(AD$12:AD$41,AD$12:AD$41))</f>
        <v>5.0000000000000018</v>
      </c>
      <c r="AF29" s="304" cm="1">
        <f t="array" aca="1" ref="AF29" ca="1">ROUNDUP(SUMPRODUCT(--($D$7:$AE$7=AF$7),$D29:$AE29,$D$3:$AE$3),3)</f>
        <v>16</v>
      </c>
      <c r="AG29" s="304">
        <f t="shared" ca="1" si="19"/>
        <v>26</v>
      </c>
      <c r="AH29" s="312" cm="1">
        <f t="array" aca="1" ref="AH29" ca="1">ROUNDUP(SUMPRODUCT(--($D$7:$AE$7=AH$7),$D29:$AE29,$D$3:$AE$3),3)</f>
        <v>16</v>
      </c>
      <c r="AI29" s="312">
        <f t="shared" ca="1" si="20"/>
        <v>26</v>
      </c>
      <c r="AJ29" s="516">
        <f t="shared" ca="1" si="21"/>
        <v>0</v>
      </c>
      <c r="AK29" s="302" t="s">
        <v>59</v>
      </c>
      <c r="AL29" s="314" t="s">
        <v>86</v>
      </c>
    </row>
    <row r="30" spans="2:38" s="445" customFormat="1" ht="12.75" customHeight="1">
      <c r="B30" s="315" t="s">
        <v>86</v>
      </c>
      <c r="C30" s="316" t="s">
        <v>346</v>
      </c>
      <c r="D30" s="384">
        <v>2.2038570629651748E-2</v>
      </c>
      <c r="E30" s="305">
        <f t="shared" si="5"/>
        <v>26</v>
      </c>
      <c r="F30" s="319">
        <v>0</v>
      </c>
      <c r="G30" s="321">
        <f t="shared" si="6"/>
        <v>28</v>
      </c>
      <c r="H30" s="385">
        <v>3.43662E-3</v>
      </c>
      <c r="I30" s="305">
        <f t="shared" si="7"/>
        <v>28</v>
      </c>
      <c r="J30" s="319">
        <v>0</v>
      </c>
      <c r="K30" s="386">
        <f t="shared" si="8"/>
        <v>17</v>
      </c>
      <c r="L30" s="384">
        <v>1.48E-3</v>
      </c>
      <c r="M30" s="305">
        <f t="shared" si="9"/>
        <v>28</v>
      </c>
      <c r="N30" s="319">
        <v>0</v>
      </c>
      <c r="O30" s="307">
        <f t="shared" si="10"/>
        <v>23</v>
      </c>
      <c r="P30" s="384">
        <v>0</v>
      </c>
      <c r="Q30" s="305">
        <f t="shared" si="11"/>
        <v>22</v>
      </c>
      <c r="R30" s="319">
        <v>0</v>
      </c>
      <c r="S30" s="321">
        <f t="shared" si="4"/>
        <v>13</v>
      </c>
      <c r="T30" s="384">
        <v>6.3701439988219305E-3</v>
      </c>
      <c r="U30" s="305">
        <f t="shared" si="12"/>
        <v>24</v>
      </c>
      <c r="V30" s="319">
        <v>1.9190328259672498E-2</v>
      </c>
      <c r="W30" s="321">
        <f t="shared" si="13"/>
        <v>24</v>
      </c>
      <c r="X30" s="384">
        <f t="shared" si="14"/>
        <v>3.3325334628473681E-2</v>
      </c>
      <c r="Y30" s="305">
        <f t="shared" si="15"/>
        <v>29</v>
      </c>
      <c r="Z30" s="319">
        <f t="shared" si="16"/>
        <v>1.9190328259672498E-2</v>
      </c>
      <c r="AA30" s="321">
        <f t="shared" si="17"/>
        <v>28</v>
      </c>
      <c r="AB30" s="385">
        <f t="shared" si="18"/>
        <v>1.2367777209877688</v>
      </c>
      <c r="AC30" s="305" cm="1">
        <f t="array" ref="AC30">SUMPRODUCT((AB30&lt;=AB$12:AB$41)/COUNTIF(AB$12:AB$41,AB$12:AB$41))</f>
        <v>5.0000000000000018</v>
      </c>
      <c r="AD30" s="319">
        <v>4.5199999999999996</v>
      </c>
      <c r="AE30" s="321" cm="1">
        <f t="array" ref="AE30">SUMPRODUCT((AD30&lt;=AD$12:AD$41)/COUNTIF(AD$12:AD$41,AD$12:AD$41))</f>
        <v>5.0000000000000018</v>
      </c>
      <c r="AF30" s="305" cm="1">
        <f t="array" aca="1" ref="AF30" ca="1">ROUNDUP(SUMPRODUCT(--($D$7:$AE$7=AF$7),$D30:$AE30,$D$3:$AE$3),3)</f>
        <v>17</v>
      </c>
      <c r="AG30" s="305">
        <f t="shared" ca="1" si="19"/>
        <v>28</v>
      </c>
      <c r="AH30" s="307" cm="1">
        <f t="array" aca="1" ref="AH30" ca="1">ROUNDUP(SUMPRODUCT(--($D$7:$AE$7=AH$7),$D30:$AE30,$D$3:$AE$3),3)</f>
        <v>16.5</v>
      </c>
      <c r="AI30" s="307">
        <f t="shared" ca="1" si="20"/>
        <v>28</v>
      </c>
      <c r="AJ30" s="516">
        <f t="shared" ca="1" si="21"/>
        <v>0</v>
      </c>
      <c r="AK30" s="316" t="s">
        <v>346</v>
      </c>
      <c r="AL30" s="322" t="s">
        <v>86</v>
      </c>
    </row>
    <row r="31" spans="2:38" s="445" customFormat="1" ht="12.75" customHeight="1">
      <c r="B31" s="315" t="s">
        <v>86</v>
      </c>
      <c r="C31" s="316" t="s">
        <v>11</v>
      </c>
      <c r="D31" s="384">
        <v>0.2681565982850499</v>
      </c>
      <c r="E31" s="305">
        <f t="shared" si="5"/>
        <v>18</v>
      </c>
      <c r="F31" s="319">
        <v>1.1100000000000001</v>
      </c>
      <c r="G31" s="321">
        <f t="shared" si="6"/>
        <v>14</v>
      </c>
      <c r="H31" s="385">
        <v>0.13324586000000002</v>
      </c>
      <c r="I31" s="305">
        <f t="shared" si="7"/>
        <v>13</v>
      </c>
      <c r="J31" s="319">
        <v>0</v>
      </c>
      <c r="K31" s="386">
        <f t="shared" si="8"/>
        <v>17</v>
      </c>
      <c r="L31" s="384">
        <v>2.4863999999999997E-2</v>
      </c>
      <c r="M31" s="305">
        <f t="shared" si="9"/>
        <v>17</v>
      </c>
      <c r="N31" s="319">
        <v>0.03</v>
      </c>
      <c r="O31" s="307">
        <f t="shared" si="10"/>
        <v>15</v>
      </c>
      <c r="P31" s="384">
        <v>0</v>
      </c>
      <c r="Q31" s="305">
        <f t="shared" si="11"/>
        <v>22</v>
      </c>
      <c r="R31" s="319">
        <v>0</v>
      </c>
      <c r="S31" s="321">
        <f t="shared" si="4"/>
        <v>13</v>
      </c>
      <c r="T31" s="384">
        <v>1.6700000000000003E-2</v>
      </c>
      <c r="U31" s="305">
        <f t="shared" si="12"/>
        <v>19</v>
      </c>
      <c r="V31" s="319">
        <v>0.02</v>
      </c>
      <c r="W31" s="321">
        <f t="shared" si="13"/>
        <v>23</v>
      </c>
      <c r="X31" s="384">
        <f t="shared" si="14"/>
        <v>0.44296645828504994</v>
      </c>
      <c r="Y31" s="305">
        <f t="shared" si="15"/>
        <v>19</v>
      </c>
      <c r="Z31" s="319">
        <f t="shared" si="16"/>
        <v>1.1600000000000001</v>
      </c>
      <c r="AA31" s="321">
        <f t="shared" si="17"/>
        <v>16</v>
      </c>
      <c r="AB31" s="385">
        <f t="shared" si="18"/>
        <v>1.2367777209877688</v>
      </c>
      <c r="AC31" s="305" cm="1">
        <f t="array" ref="AC31">SUMPRODUCT((AB31&lt;=AB$12:AB$41)/COUNTIF(AB$12:AB$41,AB$12:AB$41))</f>
        <v>5.0000000000000018</v>
      </c>
      <c r="AD31" s="319">
        <v>4.5199999999999996</v>
      </c>
      <c r="AE31" s="321" cm="1">
        <f t="array" ref="AE31">SUMPRODUCT((AD31&lt;=AD$12:AD$41)/COUNTIF(AD$12:AD$41,AD$12:AD$41))</f>
        <v>5.0000000000000018</v>
      </c>
      <c r="AF31" s="305" cm="1">
        <f t="array" aca="1" ref="AF31" ca="1">ROUNDUP(SUMPRODUCT(--($D$7:$AE$7=AF$7),$D31:$AE31,$D$3:$AE$3),3)</f>
        <v>12</v>
      </c>
      <c r="AG31" s="305">
        <f t="shared" ca="1" si="19"/>
        <v>20</v>
      </c>
      <c r="AH31" s="307" cm="1">
        <f t="array" aca="1" ref="AH31" ca="1">ROUNDUP(SUMPRODUCT(--($D$7:$AE$7=AH$7),$D31:$AE31,$D$3:$AE$3),3)</f>
        <v>10.5</v>
      </c>
      <c r="AI31" s="307">
        <f t="shared" ca="1" si="20"/>
        <v>17</v>
      </c>
      <c r="AJ31" s="516">
        <f t="shared" ca="1" si="21"/>
        <v>3</v>
      </c>
      <c r="AK31" s="316" t="s">
        <v>11</v>
      </c>
      <c r="AL31" s="322" t="s">
        <v>86</v>
      </c>
    </row>
    <row r="32" spans="2:38" s="445" customFormat="1" ht="12.75" customHeight="1">
      <c r="B32" s="323" t="s">
        <v>86</v>
      </c>
      <c r="C32" s="324" t="s">
        <v>39</v>
      </c>
      <c r="D32" s="387">
        <v>3.6278255987479142E-2</v>
      </c>
      <c r="E32" s="326">
        <f t="shared" si="5"/>
        <v>24</v>
      </c>
      <c r="F32" s="331">
        <v>0.1</v>
      </c>
      <c r="G32" s="333">
        <f t="shared" si="6"/>
        <v>24</v>
      </c>
      <c r="H32" s="388">
        <v>2.1290280000000002E-2</v>
      </c>
      <c r="I32" s="326">
        <f t="shared" si="7"/>
        <v>24</v>
      </c>
      <c r="J32" s="331">
        <v>0</v>
      </c>
      <c r="K32" s="389">
        <f t="shared" si="8"/>
        <v>17</v>
      </c>
      <c r="L32" s="387">
        <v>7.9624E-2</v>
      </c>
      <c r="M32" s="326">
        <f t="shared" si="9"/>
        <v>10</v>
      </c>
      <c r="N32" s="331">
        <v>0.62</v>
      </c>
      <c r="O32" s="328">
        <f t="shared" si="10"/>
        <v>2</v>
      </c>
      <c r="P32" s="387">
        <v>0</v>
      </c>
      <c r="Q32" s="326">
        <f t="shared" si="11"/>
        <v>22</v>
      </c>
      <c r="R32" s="331">
        <v>0</v>
      </c>
      <c r="S32" s="333">
        <f t="shared" si="4"/>
        <v>13</v>
      </c>
      <c r="T32" s="387">
        <v>0.56000000000000005</v>
      </c>
      <c r="U32" s="326">
        <f t="shared" si="12"/>
        <v>7</v>
      </c>
      <c r="V32" s="331">
        <v>1.1856088389191557</v>
      </c>
      <c r="W32" s="333">
        <f t="shared" si="13"/>
        <v>7</v>
      </c>
      <c r="X32" s="387">
        <f t="shared" si="14"/>
        <v>0.69719253598747921</v>
      </c>
      <c r="Y32" s="326">
        <f t="shared" si="15"/>
        <v>18</v>
      </c>
      <c r="Z32" s="331">
        <f t="shared" si="16"/>
        <v>1.9056088389191557</v>
      </c>
      <c r="AA32" s="333">
        <f t="shared" si="17"/>
        <v>13</v>
      </c>
      <c r="AB32" s="388">
        <f t="shared" si="18"/>
        <v>1.2367777209877688</v>
      </c>
      <c r="AC32" s="326" cm="1">
        <f t="array" ref="AC32">SUMPRODUCT((AB32&lt;=AB$12:AB$41)/COUNTIF(AB$12:AB$41,AB$12:AB$41))</f>
        <v>5.0000000000000018</v>
      </c>
      <c r="AD32" s="331">
        <v>4.5199999999999996</v>
      </c>
      <c r="AE32" s="333" cm="1">
        <f t="array" ref="AE32">SUMPRODUCT((AD32&lt;=AD$12:AD$41)/COUNTIF(AD$12:AD$41,AD$12:AD$41))</f>
        <v>5.0000000000000018</v>
      </c>
      <c r="AF32" s="326" cm="1">
        <f t="array" aca="1" ref="AF32" ca="1">ROUNDUP(SUMPRODUCT(--($D$7:$AE$7=AF$7),$D32:$AE32,$D$3:$AE$3),3)</f>
        <v>11.5</v>
      </c>
      <c r="AG32" s="326">
        <f t="shared" ca="1" si="19"/>
        <v>19</v>
      </c>
      <c r="AH32" s="328" cm="1">
        <f t="array" aca="1" ref="AH32" ca="1">ROUNDUP(SUMPRODUCT(--($D$7:$AE$7=AH$7),$D32:$AE32,$D$3:$AE$3),3)</f>
        <v>9</v>
      </c>
      <c r="AI32" s="328">
        <f t="shared" ca="1" si="20"/>
        <v>15</v>
      </c>
      <c r="AJ32" s="516">
        <f t="shared" ca="1" si="21"/>
        <v>4</v>
      </c>
      <c r="AK32" s="324" t="s">
        <v>39</v>
      </c>
      <c r="AL32" s="334" t="s">
        <v>86</v>
      </c>
    </row>
    <row r="33" spans="2:38" s="445" customFormat="1" ht="12.75" customHeight="1">
      <c r="B33" s="314" t="s">
        <v>89</v>
      </c>
      <c r="C33" s="343" t="s">
        <v>6</v>
      </c>
      <c r="D33" s="381">
        <v>260.36532002631475</v>
      </c>
      <c r="E33" s="304">
        <f t="shared" si="5"/>
        <v>1</v>
      </c>
      <c r="F33" s="309">
        <v>261.32</v>
      </c>
      <c r="G33" s="313">
        <f t="shared" si="6"/>
        <v>1</v>
      </c>
      <c r="H33" s="382">
        <v>12.384685745394627</v>
      </c>
      <c r="I33" s="304">
        <f t="shared" si="7"/>
        <v>1</v>
      </c>
      <c r="J33" s="309">
        <v>29.24</v>
      </c>
      <c r="K33" s="383">
        <f t="shared" si="8"/>
        <v>1</v>
      </c>
      <c r="L33" s="381">
        <v>18.927365501749108</v>
      </c>
      <c r="M33" s="304">
        <f t="shared" si="9"/>
        <v>1</v>
      </c>
      <c r="N33" s="309">
        <v>7.61</v>
      </c>
      <c r="O33" s="312">
        <f t="shared" si="10"/>
        <v>1</v>
      </c>
      <c r="P33" s="381">
        <v>31.014423076947804</v>
      </c>
      <c r="Q33" s="304">
        <f t="shared" si="11"/>
        <v>1</v>
      </c>
      <c r="R33" s="309">
        <v>27.12</v>
      </c>
      <c r="S33" s="313">
        <f t="shared" si="4"/>
        <v>1</v>
      </c>
      <c r="T33" s="381">
        <v>10.970895187499998</v>
      </c>
      <c r="U33" s="304">
        <f t="shared" si="12"/>
        <v>2</v>
      </c>
      <c r="V33" s="309">
        <v>44.066922811094059</v>
      </c>
      <c r="W33" s="313">
        <f t="shared" si="13"/>
        <v>1</v>
      </c>
      <c r="X33" s="381">
        <f t="shared" si="14"/>
        <v>333.66268953790626</v>
      </c>
      <c r="Y33" s="304">
        <f t="shared" si="15"/>
        <v>1</v>
      </c>
      <c r="Z33" s="309">
        <f t="shared" si="16"/>
        <v>369.35692281109408</v>
      </c>
      <c r="AA33" s="313">
        <f t="shared" si="17"/>
        <v>1</v>
      </c>
      <c r="AB33" s="382">
        <f t="shared" si="18"/>
        <v>351.84916177531221</v>
      </c>
      <c r="AC33" s="304" cm="1">
        <f t="array" ref="AC33">SUMPRODUCT((AB33&lt;=AB$12:AB$41)/COUNTIF(AB$12:AB$41,AB$12:AB$41))</f>
        <v>1</v>
      </c>
      <c r="AD33" s="309">
        <v>387.3</v>
      </c>
      <c r="AE33" s="313" cm="1">
        <f t="array" ref="AE33">SUMPRODUCT((AD33&lt;=AD$12:AD$41)/COUNTIF(AD$12:AD$41,AD$12:AD$41))</f>
        <v>1</v>
      </c>
      <c r="AF33" s="304" cm="1">
        <f t="array" aca="1" ref="AF33" ca="1">ROUNDUP(SUMPRODUCT(--($D$7:$AE$7=AF$7),$D33:$AE33,$D$3:$AE$3),3)</f>
        <v>1</v>
      </c>
      <c r="AG33" s="304">
        <f t="shared" ca="1" si="19"/>
        <v>1</v>
      </c>
      <c r="AH33" s="312" cm="1">
        <f t="array" aca="1" ref="AH33" ca="1">ROUNDUP(SUMPRODUCT(--($D$7:$AE$7=AH$7),$D33:$AE33,$D$3:$AE$3),3)</f>
        <v>1</v>
      </c>
      <c r="AI33" s="312">
        <f t="shared" ca="1" si="20"/>
        <v>1</v>
      </c>
      <c r="AJ33" s="516">
        <f t="shared" ca="1" si="21"/>
        <v>0</v>
      </c>
      <c r="AK33" s="343" t="s">
        <v>6</v>
      </c>
      <c r="AL33" s="314" t="s">
        <v>89</v>
      </c>
    </row>
    <row r="34" spans="2:38" s="445" customFormat="1" ht="12.75" customHeight="1">
      <c r="B34" s="322" t="s">
        <v>89</v>
      </c>
      <c r="C34" s="344" t="s">
        <v>8</v>
      </c>
      <c r="D34" s="384">
        <v>3.4908730893169126</v>
      </c>
      <c r="E34" s="305">
        <f t="shared" si="5"/>
        <v>10</v>
      </c>
      <c r="F34" s="319">
        <v>2.4300000000000002</v>
      </c>
      <c r="G34" s="321">
        <f t="shared" si="6"/>
        <v>11</v>
      </c>
      <c r="H34" s="385">
        <v>1.4029229216814898</v>
      </c>
      <c r="I34" s="305">
        <f t="shared" si="7"/>
        <v>6</v>
      </c>
      <c r="J34" s="319">
        <v>0.14000000000000001</v>
      </c>
      <c r="K34" s="386">
        <f t="shared" si="8"/>
        <v>9</v>
      </c>
      <c r="L34" s="384">
        <v>8.7950128581935905E-3</v>
      </c>
      <c r="M34" s="305">
        <f t="shared" si="9"/>
        <v>20</v>
      </c>
      <c r="N34" s="319">
        <v>0</v>
      </c>
      <c r="O34" s="307">
        <f t="shared" si="10"/>
        <v>23</v>
      </c>
      <c r="P34" s="384">
        <v>1.4816252363753692E-3</v>
      </c>
      <c r="Q34" s="305">
        <f t="shared" si="11"/>
        <v>19</v>
      </c>
      <c r="R34" s="319">
        <v>0</v>
      </c>
      <c r="S34" s="321">
        <f t="shared" si="4"/>
        <v>13</v>
      </c>
      <c r="T34" s="384">
        <v>1.4167884597079536</v>
      </c>
      <c r="U34" s="305">
        <f t="shared" si="12"/>
        <v>5</v>
      </c>
      <c r="V34" s="319">
        <v>2.2095271366471865</v>
      </c>
      <c r="W34" s="321">
        <f t="shared" si="13"/>
        <v>4</v>
      </c>
      <c r="X34" s="384">
        <f t="shared" si="14"/>
        <v>6.3208611088009254</v>
      </c>
      <c r="Y34" s="305">
        <f t="shared" si="15"/>
        <v>9</v>
      </c>
      <c r="Z34" s="319">
        <f t="shared" si="16"/>
        <v>4.7795271366471868</v>
      </c>
      <c r="AA34" s="321">
        <f t="shared" si="17"/>
        <v>11</v>
      </c>
      <c r="AB34" s="385">
        <f t="shared" si="18"/>
        <v>351.84916177531221</v>
      </c>
      <c r="AC34" s="305" cm="1">
        <f t="array" ref="AC34">SUMPRODUCT((AB34&lt;=AB$12:AB$41)/COUNTIF(AB$12:AB$41,AB$12:AB$41))</f>
        <v>1</v>
      </c>
      <c r="AD34" s="319">
        <v>387.3</v>
      </c>
      <c r="AE34" s="321" cm="1">
        <f t="array" ref="AE34">SUMPRODUCT((AD34&lt;=AD$12:AD$41)/COUNTIF(AD$12:AD$41,AD$12:AD$41))</f>
        <v>1</v>
      </c>
      <c r="AF34" s="305" cm="1">
        <f t="array" aca="1" ref="AF34" ca="1">ROUNDUP(SUMPRODUCT(--($D$7:$AE$7=AF$7),$D34:$AE34,$D$3:$AE$3),3)</f>
        <v>5</v>
      </c>
      <c r="AG34" s="305">
        <f t="shared" ca="1" si="19"/>
        <v>8</v>
      </c>
      <c r="AH34" s="307" cm="1">
        <f t="array" aca="1" ref="AH34" ca="1">ROUNDUP(SUMPRODUCT(--($D$7:$AE$7=AH$7),$D34:$AE34,$D$3:$AE$3),3)</f>
        <v>6</v>
      </c>
      <c r="AI34" s="307">
        <f t="shared" ca="1" si="20"/>
        <v>10</v>
      </c>
      <c r="AJ34" s="516">
        <f t="shared" ca="1" si="21"/>
        <v>-2</v>
      </c>
      <c r="AK34" s="344" t="s">
        <v>8</v>
      </c>
      <c r="AL34" s="322" t="s">
        <v>89</v>
      </c>
    </row>
    <row r="35" spans="2:38" s="445" customFormat="1" ht="12.75" customHeight="1">
      <c r="B35" s="334" t="s">
        <v>89</v>
      </c>
      <c r="C35" s="345" t="s">
        <v>14</v>
      </c>
      <c r="D35" s="387">
        <v>8.7968322778654979</v>
      </c>
      <c r="E35" s="326">
        <f t="shared" si="5"/>
        <v>7</v>
      </c>
      <c r="F35" s="331">
        <v>9.41</v>
      </c>
      <c r="G35" s="333">
        <f t="shared" si="6"/>
        <v>7</v>
      </c>
      <c r="H35" s="388">
        <v>2.831513491852498</v>
      </c>
      <c r="I35" s="326">
        <f t="shared" si="7"/>
        <v>3</v>
      </c>
      <c r="J35" s="331">
        <v>2.94</v>
      </c>
      <c r="K35" s="389">
        <f t="shared" si="8"/>
        <v>2</v>
      </c>
      <c r="L35" s="387">
        <v>0.20377878848795714</v>
      </c>
      <c r="M35" s="326">
        <f t="shared" si="9"/>
        <v>3</v>
      </c>
      <c r="N35" s="331">
        <v>0.36</v>
      </c>
      <c r="O35" s="328">
        <f t="shared" si="10"/>
        <v>4</v>
      </c>
      <c r="P35" s="387">
        <v>1.3486570399091348E-2</v>
      </c>
      <c r="Q35" s="326">
        <f t="shared" si="11"/>
        <v>8</v>
      </c>
      <c r="R35" s="331">
        <v>0.03</v>
      </c>
      <c r="S35" s="333">
        <f t="shared" si="4"/>
        <v>8</v>
      </c>
      <c r="T35" s="387">
        <v>0.02</v>
      </c>
      <c r="U35" s="326">
        <f t="shared" si="12"/>
        <v>18</v>
      </c>
      <c r="V35" s="331">
        <v>0.42217178862839866</v>
      </c>
      <c r="W35" s="333">
        <f t="shared" si="13"/>
        <v>8</v>
      </c>
      <c r="X35" s="387">
        <f t="shared" si="14"/>
        <v>11.865611128605044</v>
      </c>
      <c r="Y35" s="326">
        <f t="shared" si="15"/>
        <v>6</v>
      </c>
      <c r="Z35" s="331">
        <f t="shared" si="16"/>
        <v>13.162171788628397</v>
      </c>
      <c r="AA35" s="333">
        <f t="shared" si="17"/>
        <v>6</v>
      </c>
      <c r="AB35" s="388">
        <f t="shared" si="18"/>
        <v>351.84916177531221</v>
      </c>
      <c r="AC35" s="326" cm="1">
        <f t="array" ref="AC35">SUMPRODUCT((AB35&lt;=AB$12:AB$41)/COUNTIF(AB$12:AB$41,AB$12:AB$41))</f>
        <v>1</v>
      </c>
      <c r="AD35" s="331">
        <v>387.3</v>
      </c>
      <c r="AE35" s="333" cm="1">
        <f t="array" ref="AE35">SUMPRODUCT((AD35&lt;=AD$12:AD$41)/COUNTIF(AD$12:AD$41,AD$12:AD$41))</f>
        <v>1</v>
      </c>
      <c r="AF35" s="326" cm="1">
        <f t="array" aca="1" ref="AF35" ca="1">ROUNDUP(SUMPRODUCT(--($D$7:$AE$7=AF$7),$D35:$AE35,$D$3:$AE$3),3)</f>
        <v>3.5</v>
      </c>
      <c r="AG35" s="326">
        <f t="shared" ca="1" si="19"/>
        <v>5</v>
      </c>
      <c r="AH35" s="328" cm="1">
        <f t="array" aca="1" ref="AH35" ca="1">ROUNDUP(SUMPRODUCT(--($D$7:$AE$7=AH$7),$D35:$AE35,$D$3:$AE$3),3)</f>
        <v>3.5</v>
      </c>
      <c r="AI35" s="328">
        <f t="shared" ca="1" si="20"/>
        <v>5</v>
      </c>
      <c r="AJ35" s="516">
        <f t="shared" ca="1" si="21"/>
        <v>0</v>
      </c>
      <c r="AK35" s="345" t="s">
        <v>14</v>
      </c>
      <c r="AL35" s="334" t="s">
        <v>89</v>
      </c>
    </row>
    <row r="36" spans="2:38" s="445" customFormat="1" ht="12.75" customHeight="1">
      <c r="B36" s="314" t="s">
        <v>90</v>
      </c>
      <c r="C36" s="343" t="s">
        <v>9</v>
      </c>
      <c r="D36" s="381">
        <v>1.648502067953052</v>
      </c>
      <c r="E36" s="304">
        <f t="shared" si="5"/>
        <v>12</v>
      </c>
      <c r="F36" s="309">
        <v>3.18</v>
      </c>
      <c r="G36" s="313">
        <f t="shared" si="6"/>
        <v>10</v>
      </c>
      <c r="H36" s="382">
        <v>1.7051300056640812E-2</v>
      </c>
      <c r="I36" s="304">
        <f t="shared" si="7"/>
        <v>25</v>
      </c>
      <c r="J36" s="309">
        <v>0</v>
      </c>
      <c r="K36" s="383">
        <f t="shared" si="8"/>
        <v>17</v>
      </c>
      <c r="L36" s="381">
        <v>5.509328809283532E-2</v>
      </c>
      <c r="M36" s="304">
        <f t="shared" si="9"/>
        <v>13</v>
      </c>
      <c r="N36" s="309">
        <v>0.04</v>
      </c>
      <c r="O36" s="312">
        <f t="shared" si="10"/>
        <v>14</v>
      </c>
      <c r="P36" s="381">
        <v>3.2814039900465569E-5</v>
      </c>
      <c r="Q36" s="304">
        <f t="shared" si="11"/>
        <v>21</v>
      </c>
      <c r="R36" s="309">
        <v>0.04</v>
      </c>
      <c r="S36" s="313">
        <f t="shared" si="4"/>
        <v>6</v>
      </c>
      <c r="T36" s="381">
        <v>1.5103743195670363</v>
      </c>
      <c r="U36" s="304">
        <f t="shared" si="12"/>
        <v>4</v>
      </c>
      <c r="V36" s="309">
        <v>2.1642007658761031</v>
      </c>
      <c r="W36" s="313">
        <f t="shared" si="13"/>
        <v>5</v>
      </c>
      <c r="X36" s="381">
        <f t="shared" si="14"/>
        <v>3.2310537897094651</v>
      </c>
      <c r="Y36" s="304">
        <f t="shared" si="15"/>
        <v>11</v>
      </c>
      <c r="Z36" s="309">
        <f t="shared" si="16"/>
        <v>5.4242007658761029</v>
      </c>
      <c r="AA36" s="313">
        <f t="shared" si="17"/>
        <v>10</v>
      </c>
      <c r="AB36" s="382">
        <f t="shared" si="18"/>
        <v>7.7987324190583998</v>
      </c>
      <c r="AC36" s="304" cm="1">
        <f t="array" ref="AC36">SUMPRODUCT((AB36&lt;=AB$12:AB$41)/COUNTIF(AB$12:AB$41,AB$12:AB$41))</f>
        <v>3.9999999999999996</v>
      </c>
      <c r="AD36" s="309">
        <v>11.654664489104306</v>
      </c>
      <c r="AE36" s="313" cm="1">
        <f t="array" ref="AE36">SUMPRODUCT((AD36&lt;=AD$12:AD$41)/COUNTIF(AD$12:AD$41,AD$12:AD$41))</f>
        <v>3.9999999999999996</v>
      </c>
      <c r="AF36" s="304" cm="1">
        <f t="array" aca="1" ref="AF36" ca="1">ROUNDUP(SUMPRODUCT(--($D$7:$AE$7=AF$7),$D36:$AE36,$D$3:$AE$3),3)</f>
        <v>7.5</v>
      </c>
      <c r="AG36" s="304">
        <f t="shared" ca="1" si="19"/>
        <v>11</v>
      </c>
      <c r="AH36" s="312" cm="1">
        <f t="array" aca="1" ref="AH36" ca="1">ROUNDUP(SUMPRODUCT(--($D$7:$AE$7=AH$7),$D36:$AE36,$D$3:$AE$3),3)</f>
        <v>7</v>
      </c>
      <c r="AI36" s="312">
        <f t="shared" ca="1" si="20"/>
        <v>11</v>
      </c>
      <c r="AJ36" s="516">
        <f t="shared" ca="1" si="21"/>
        <v>0</v>
      </c>
      <c r="AK36" s="343" t="s">
        <v>9</v>
      </c>
      <c r="AL36" s="314" t="s">
        <v>90</v>
      </c>
    </row>
    <row r="37" spans="2:38" s="445" customFormat="1" ht="12.75" customHeight="1">
      <c r="B37" s="322" t="s">
        <v>90</v>
      </c>
      <c r="C37" s="344" t="s">
        <v>7</v>
      </c>
      <c r="D37" s="384">
        <v>1.0151998619417493</v>
      </c>
      <c r="E37" s="305">
        <f t="shared" si="5"/>
        <v>13</v>
      </c>
      <c r="F37" s="319">
        <v>1.35</v>
      </c>
      <c r="G37" s="321">
        <f t="shared" si="6"/>
        <v>13</v>
      </c>
      <c r="H37" s="385">
        <v>0.29685587811375203</v>
      </c>
      <c r="I37" s="305">
        <f t="shared" si="7"/>
        <v>8</v>
      </c>
      <c r="J37" s="319">
        <v>0.03</v>
      </c>
      <c r="K37" s="386">
        <f t="shared" si="8"/>
        <v>13</v>
      </c>
      <c r="L37" s="384">
        <v>9.2098719552781927E-2</v>
      </c>
      <c r="M37" s="305">
        <f t="shared" si="9"/>
        <v>5</v>
      </c>
      <c r="N37" s="319">
        <v>0.57999999999999996</v>
      </c>
      <c r="O37" s="307">
        <f t="shared" si="10"/>
        <v>3</v>
      </c>
      <c r="P37" s="384">
        <v>0.69269724881189321</v>
      </c>
      <c r="Q37" s="305">
        <f t="shared" si="11"/>
        <v>2</v>
      </c>
      <c r="R37" s="319">
        <v>1.81</v>
      </c>
      <c r="S37" s="321">
        <f t="shared" si="4"/>
        <v>2</v>
      </c>
      <c r="T37" s="384">
        <v>0.11425616884903908</v>
      </c>
      <c r="U37" s="305">
        <f t="shared" si="12"/>
        <v>10</v>
      </c>
      <c r="V37" s="319">
        <v>0.10974640720811416</v>
      </c>
      <c r="W37" s="321">
        <f t="shared" si="13"/>
        <v>14</v>
      </c>
      <c r="X37" s="384">
        <f t="shared" si="14"/>
        <v>2.2111078772692152</v>
      </c>
      <c r="Y37" s="305">
        <f t="shared" si="15"/>
        <v>12</v>
      </c>
      <c r="Z37" s="319">
        <f t="shared" si="16"/>
        <v>3.8797464072081143</v>
      </c>
      <c r="AA37" s="321">
        <f t="shared" si="17"/>
        <v>12</v>
      </c>
      <c r="AB37" s="385">
        <f t="shared" si="18"/>
        <v>7.7987324190583998</v>
      </c>
      <c r="AC37" s="305" cm="1">
        <f t="array" ref="AC37">SUMPRODUCT((AB37&lt;=AB$12:AB$41)/COUNTIF(AB$12:AB$41,AB$12:AB$41))</f>
        <v>3.9999999999999996</v>
      </c>
      <c r="AD37" s="319">
        <v>11.654664489104306</v>
      </c>
      <c r="AE37" s="321" cm="1">
        <f t="array" ref="AE37">SUMPRODUCT((AD37&lt;=AD$12:AD$41)/COUNTIF(AD$12:AD$41,AD$12:AD$41))</f>
        <v>3.9999999999999996</v>
      </c>
      <c r="AF37" s="305" cm="1">
        <f t="array" aca="1" ref="AF37" ca="1">ROUNDUP(SUMPRODUCT(--($D$7:$AE$7=AF$7),$D37:$AE37,$D$3:$AE$3),3)</f>
        <v>8</v>
      </c>
      <c r="AG37" s="305">
        <f t="shared" ca="1" si="19"/>
        <v>13</v>
      </c>
      <c r="AH37" s="307" cm="1">
        <f t="array" aca="1" ref="AH37" ca="1">ROUNDUP(SUMPRODUCT(--($D$7:$AE$7=AH$7),$D37:$AE37,$D$3:$AE$3),3)</f>
        <v>8</v>
      </c>
      <c r="AI37" s="307">
        <f t="shared" ca="1" si="20"/>
        <v>12</v>
      </c>
      <c r="AJ37" s="516">
        <f t="shared" ca="1" si="21"/>
        <v>1</v>
      </c>
      <c r="AK37" s="344" t="s">
        <v>7</v>
      </c>
      <c r="AL37" s="322" t="s">
        <v>90</v>
      </c>
    </row>
    <row r="38" spans="2:38" s="445" customFormat="1" ht="12.75" customHeight="1">
      <c r="B38" s="322" t="s">
        <v>90</v>
      </c>
      <c r="C38" s="344" t="s">
        <v>10</v>
      </c>
      <c r="D38" s="384">
        <v>8.3360175223215593E-2</v>
      </c>
      <c r="E38" s="305">
        <f t="shared" si="5"/>
        <v>23</v>
      </c>
      <c r="F38" s="319">
        <v>0.32</v>
      </c>
      <c r="G38" s="321">
        <f t="shared" si="6"/>
        <v>21</v>
      </c>
      <c r="H38" s="385">
        <v>2.2108039650696142E-2</v>
      </c>
      <c r="I38" s="305">
        <f t="shared" si="7"/>
        <v>23</v>
      </c>
      <c r="J38" s="319">
        <v>0</v>
      </c>
      <c r="K38" s="386">
        <f t="shared" si="8"/>
        <v>17</v>
      </c>
      <c r="L38" s="384">
        <v>2.2473384832242698E-3</v>
      </c>
      <c r="M38" s="305">
        <f t="shared" si="9"/>
        <v>27</v>
      </c>
      <c r="N38" s="319">
        <v>0.01</v>
      </c>
      <c r="O38" s="307">
        <f>RANK(N38,$N$12:$N$41,0)</f>
        <v>18</v>
      </c>
      <c r="P38" s="384">
        <v>6.2925927728390479E-2</v>
      </c>
      <c r="Q38" s="305">
        <f t="shared" si="11"/>
        <v>4</v>
      </c>
      <c r="R38" s="319">
        <v>0.03</v>
      </c>
      <c r="S38" s="321">
        <f t="shared" si="4"/>
        <v>8</v>
      </c>
      <c r="T38" s="384">
        <v>0</v>
      </c>
      <c r="U38" s="305">
        <f t="shared" si="12"/>
        <v>30</v>
      </c>
      <c r="V38" s="319">
        <v>7.5781839224281561E-6</v>
      </c>
      <c r="W38" s="321">
        <f t="shared" si="13"/>
        <v>30</v>
      </c>
      <c r="X38" s="384">
        <f t="shared" si="14"/>
        <v>0.17064148108552649</v>
      </c>
      <c r="Y38" s="305">
        <f t="shared" si="15"/>
        <v>24</v>
      </c>
      <c r="Z38" s="319">
        <f t="shared" si="16"/>
        <v>0.36000757818392243</v>
      </c>
      <c r="AA38" s="321">
        <f t="shared" si="17"/>
        <v>23</v>
      </c>
      <c r="AB38" s="385">
        <f t="shared" si="18"/>
        <v>7.7987324190583998</v>
      </c>
      <c r="AC38" s="305" cm="1">
        <f t="array" ref="AC38">SUMPRODUCT((AB38&lt;=AB$12:AB$41)/COUNTIF(AB$12:AB$41,AB$12:AB$41))</f>
        <v>3.9999999999999996</v>
      </c>
      <c r="AD38" s="319">
        <v>11.654664489104306</v>
      </c>
      <c r="AE38" s="321" cm="1">
        <f t="array" ref="AE38">SUMPRODUCT((AD38&lt;=AD$12:AD$41)/COUNTIF(AD$12:AD$41,AD$12:AD$41))</f>
        <v>3.9999999999999996</v>
      </c>
      <c r="AF38" s="305" cm="1">
        <f t="array" aca="1" ref="AF38" ca="1">ROUNDUP(SUMPRODUCT(--($D$7:$AE$7=AF$7),$D38:$AE38,$D$3:$AE$3),3)</f>
        <v>14</v>
      </c>
      <c r="AG38" s="305">
        <f t="shared" ca="1" si="19"/>
        <v>25</v>
      </c>
      <c r="AH38" s="307" cm="1">
        <f t="array" aca="1" ref="AH38" ca="1">ROUNDUP(SUMPRODUCT(--($D$7:$AE$7=AH$7),$D38:$AE38,$D$3:$AE$3),3)</f>
        <v>13.5</v>
      </c>
      <c r="AI38" s="307">
        <f t="shared" ca="1" si="20"/>
        <v>23</v>
      </c>
      <c r="AJ38" s="516">
        <f t="shared" ca="1" si="21"/>
        <v>2</v>
      </c>
      <c r="AK38" s="344" t="s">
        <v>10</v>
      </c>
      <c r="AL38" s="322" t="s">
        <v>90</v>
      </c>
    </row>
    <row r="39" spans="2:38" s="445" customFormat="1" ht="12.75" customHeight="1">
      <c r="B39" s="322" t="s">
        <v>90</v>
      </c>
      <c r="C39" s="344" t="s">
        <v>82</v>
      </c>
      <c r="D39" s="384">
        <v>1.5699307771915846E-2</v>
      </c>
      <c r="E39" s="305">
        <f t="shared" si="5"/>
        <v>29</v>
      </c>
      <c r="F39" s="319">
        <v>0.01</v>
      </c>
      <c r="G39" s="321">
        <f t="shared" si="6"/>
        <v>27</v>
      </c>
      <c r="H39" s="385">
        <v>4.1636299081739036E-3</v>
      </c>
      <c r="I39" s="305">
        <f t="shared" si="7"/>
        <v>27</v>
      </c>
      <c r="J39" s="319">
        <v>0</v>
      </c>
      <c r="K39" s="386">
        <f t="shared" si="8"/>
        <v>17</v>
      </c>
      <c r="L39" s="384">
        <v>2.0101956515380551E-2</v>
      </c>
      <c r="M39" s="305">
        <f t="shared" si="9"/>
        <v>19</v>
      </c>
      <c r="N39" s="319">
        <v>0</v>
      </c>
      <c r="O39" s="307">
        <f t="shared" ref="O39:O41" si="22">RANK(N39,$N$12:$N$41,0)</f>
        <v>23</v>
      </c>
      <c r="P39" s="384">
        <v>2.6940413942615087E-3</v>
      </c>
      <c r="Q39" s="305">
        <f t="shared" si="11"/>
        <v>18</v>
      </c>
      <c r="R39" s="319">
        <v>0</v>
      </c>
      <c r="S39" s="321">
        <f t="shared" si="4"/>
        <v>13</v>
      </c>
      <c r="T39" s="384">
        <v>0.32075157354036704</v>
      </c>
      <c r="U39" s="305">
        <f t="shared" si="12"/>
        <v>9</v>
      </c>
      <c r="V39" s="319">
        <v>0.26114965158466469</v>
      </c>
      <c r="W39" s="321">
        <f t="shared" si="13"/>
        <v>10</v>
      </c>
      <c r="X39" s="384">
        <f t="shared" si="14"/>
        <v>0.36341050913009887</v>
      </c>
      <c r="Y39" s="305">
        <f t="shared" si="15"/>
        <v>21</v>
      </c>
      <c r="Z39" s="319">
        <f t="shared" si="16"/>
        <v>0.2711496515846647</v>
      </c>
      <c r="AA39" s="321">
        <f t="shared" si="17"/>
        <v>24</v>
      </c>
      <c r="AB39" s="385">
        <f t="shared" si="18"/>
        <v>7.7987324190583998</v>
      </c>
      <c r="AC39" s="305" cm="1">
        <f t="array" ref="AC39">SUMPRODUCT((AB39&lt;=AB$12:AB$41)/COUNTIF(AB$12:AB$41,AB$12:AB$41))</f>
        <v>3.9999999999999996</v>
      </c>
      <c r="AD39" s="319">
        <v>11.654664489104306</v>
      </c>
      <c r="AE39" s="321" cm="1">
        <f t="array" ref="AE39">SUMPRODUCT((AD39&lt;=AD$12:AD$41)/COUNTIF(AD$12:AD$41,AD$12:AD$41))</f>
        <v>3.9999999999999996</v>
      </c>
      <c r="AF39" s="305" cm="1">
        <f t="array" aca="1" ref="AF39" ca="1">ROUNDUP(SUMPRODUCT(--($D$7:$AE$7=AF$7),$D39:$AE39,$D$3:$AE$3),3)</f>
        <v>12.5</v>
      </c>
      <c r="AG39" s="305">
        <f t="shared" ca="1" si="19"/>
        <v>22</v>
      </c>
      <c r="AH39" s="307" cm="1">
        <f t="array" aca="1" ref="AH39" ca="1">ROUNDUP(SUMPRODUCT(--($D$7:$AE$7=AH$7),$D39:$AE39,$D$3:$AE$3),3)</f>
        <v>14</v>
      </c>
      <c r="AI39" s="307">
        <f t="shared" ca="1" si="20"/>
        <v>25</v>
      </c>
      <c r="AJ39" s="516">
        <f t="shared" ca="1" si="21"/>
        <v>-3</v>
      </c>
      <c r="AK39" s="344" t="s">
        <v>82</v>
      </c>
      <c r="AL39" s="322" t="s">
        <v>90</v>
      </c>
    </row>
    <row r="40" spans="2:38" s="445" customFormat="1" ht="12.75" customHeight="1">
      <c r="B40" s="322" t="s">
        <v>90</v>
      </c>
      <c r="C40" s="344" t="s">
        <v>57</v>
      </c>
      <c r="D40" s="384">
        <v>0.64466408370536621</v>
      </c>
      <c r="E40" s="305">
        <f t="shared" si="5"/>
        <v>14</v>
      </c>
      <c r="F40" s="319">
        <v>0.66</v>
      </c>
      <c r="G40" s="321">
        <f t="shared" si="6"/>
        <v>17</v>
      </c>
      <c r="H40" s="385">
        <v>0.17097203893555055</v>
      </c>
      <c r="I40" s="305">
        <f t="shared" si="7"/>
        <v>12</v>
      </c>
      <c r="J40" s="319">
        <v>0</v>
      </c>
      <c r="K40" s="386">
        <f t="shared" si="8"/>
        <v>17</v>
      </c>
      <c r="L40" s="384">
        <v>7.9895064023177559E-2</v>
      </c>
      <c r="M40" s="305">
        <f t="shared" si="9"/>
        <v>9</v>
      </c>
      <c r="N40" s="319">
        <v>0.28999999999999998</v>
      </c>
      <c r="O40" s="307">
        <f t="shared" si="22"/>
        <v>5</v>
      </c>
      <c r="P40" s="384">
        <v>1.4620407541446511E-2</v>
      </c>
      <c r="Q40" s="305">
        <f t="shared" si="11"/>
        <v>6</v>
      </c>
      <c r="R40" s="319">
        <v>0.01</v>
      </c>
      <c r="S40" s="321">
        <f t="shared" si="4"/>
        <v>11</v>
      </c>
      <c r="T40" s="384">
        <v>7.7915406971138149E-2</v>
      </c>
      <c r="U40" s="305">
        <f t="shared" si="12"/>
        <v>11</v>
      </c>
      <c r="V40" s="319">
        <v>0.14126615606282653</v>
      </c>
      <c r="W40" s="321">
        <f t="shared" si="13"/>
        <v>13</v>
      </c>
      <c r="X40" s="384">
        <f t="shared" si="14"/>
        <v>0.98806700117667912</v>
      </c>
      <c r="Y40" s="305">
        <f t="shared" si="15"/>
        <v>15</v>
      </c>
      <c r="Z40" s="319">
        <f t="shared" si="16"/>
        <v>1.1012661560628265</v>
      </c>
      <c r="AA40" s="321">
        <f t="shared" si="17"/>
        <v>17</v>
      </c>
      <c r="AB40" s="385">
        <f t="shared" si="18"/>
        <v>7.7987324190583998</v>
      </c>
      <c r="AC40" s="305" cm="1">
        <f t="array" ref="AC40">SUMPRODUCT((AB40&lt;=AB$12:AB$41)/COUNTIF(AB$12:AB$41,AB$12:AB$41))</f>
        <v>3.9999999999999996</v>
      </c>
      <c r="AD40" s="319">
        <v>11.654664489104306</v>
      </c>
      <c r="AE40" s="321" cm="1">
        <f t="array" ref="AE40">SUMPRODUCT((AD40&lt;=AD$12:AD$41)/COUNTIF(AD$12:AD$41,AD$12:AD$41))</f>
        <v>3.9999999999999996</v>
      </c>
      <c r="AF40" s="305" cm="1">
        <f t="array" aca="1" ref="AF40" ca="1">ROUNDUP(SUMPRODUCT(--($D$7:$AE$7=AF$7),$D40:$AE40,$D$3:$AE$3),3)</f>
        <v>9.5</v>
      </c>
      <c r="AG40" s="305">
        <f t="shared" ca="1" si="19"/>
        <v>16</v>
      </c>
      <c r="AH40" s="307" cm="1">
        <f t="array" aca="1" ref="AH40" ca="1">ROUNDUP(SUMPRODUCT(--($D$7:$AE$7=AH$7),$D40:$AE40,$D$3:$AE$3),3)</f>
        <v>10.5</v>
      </c>
      <c r="AI40" s="307">
        <f t="shared" ca="1" si="20"/>
        <v>17</v>
      </c>
      <c r="AJ40" s="516">
        <f t="shared" ca="1" si="21"/>
        <v>-1</v>
      </c>
      <c r="AK40" s="344" t="s">
        <v>57</v>
      </c>
      <c r="AL40" s="322" t="s">
        <v>90</v>
      </c>
    </row>
    <row r="41" spans="2:38" s="445" customFormat="1" ht="12.75" customHeight="1">
      <c r="B41" s="334" t="s">
        <v>90</v>
      </c>
      <c r="C41" s="345" t="s">
        <v>58</v>
      </c>
      <c r="D41" s="387">
        <v>0.435825379931014</v>
      </c>
      <c r="E41" s="326">
        <f>RANK(D41,$D$12:$D$41,0)</f>
        <v>16</v>
      </c>
      <c r="F41" s="331">
        <v>0.22</v>
      </c>
      <c r="G41" s="333">
        <f>RANK(F41,$F$12:$F$41,0)</f>
        <v>23</v>
      </c>
      <c r="H41" s="388">
        <v>0.11558570689773667</v>
      </c>
      <c r="I41" s="326">
        <f>RANK(H41,$H$12:$H$41,0)</f>
        <v>15</v>
      </c>
      <c r="J41" s="331">
        <v>0</v>
      </c>
      <c r="K41" s="389">
        <f t="shared" si="8"/>
        <v>17</v>
      </c>
      <c r="L41" s="387">
        <v>5.2984000000000003E-2</v>
      </c>
      <c r="M41" s="326">
        <f t="shared" si="9"/>
        <v>15</v>
      </c>
      <c r="N41" s="331">
        <v>0.03</v>
      </c>
      <c r="O41" s="328">
        <f t="shared" si="22"/>
        <v>15</v>
      </c>
      <c r="P41" s="387">
        <v>0.22996923327494287</v>
      </c>
      <c r="Q41" s="326">
        <f t="shared" si="11"/>
        <v>3</v>
      </c>
      <c r="R41" s="331">
        <v>0.36</v>
      </c>
      <c r="S41" s="333">
        <f t="shared" si="4"/>
        <v>3</v>
      </c>
      <c r="T41" s="387">
        <v>8.7440583720324887E-5</v>
      </c>
      <c r="U41" s="326">
        <f t="shared" si="12"/>
        <v>29</v>
      </c>
      <c r="V41" s="331">
        <v>8.2939301886734793E-3</v>
      </c>
      <c r="W41" s="333">
        <f t="shared" si="13"/>
        <v>27</v>
      </c>
      <c r="X41" s="384">
        <f t="shared" si="14"/>
        <v>0.834451760687414</v>
      </c>
      <c r="Y41" s="305">
        <f t="shared" si="15"/>
        <v>17</v>
      </c>
      <c r="Z41" s="319">
        <f t="shared" si="16"/>
        <v>0.61829393018867351</v>
      </c>
      <c r="AA41" s="321">
        <f t="shared" si="17"/>
        <v>20</v>
      </c>
      <c r="AB41" s="388">
        <f t="shared" si="18"/>
        <v>7.7987324190583998</v>
      </c>
      <c r="AC41" s="326" cm="1">
        <f t="array" ref="AC41">SUMPRODUCT((AB41&lt;=AB$12:AB$41)/COUNTIF(AB$12:AB$41,AB$12:AB$41))</f>
        <v>3.9999999999999996</v>
      </c>
      <c r="AD41" s="331">
        <v>11.654664489104306</v>
      </c>
      <c r="AE41" s="333" cm="1">
        <f t="array" ref="AE41">SUMPRODUCT((AD41&lt;=AD$12:AD$41)/COUNTIF(AD$12:AD$41,AD$12:AD$41))</f>
        <v>3.9999999999999996</v>
      </c>
      <c r="AF41" s="326" cm="1">
        <f t="array" aca="1" ref="AF41" ca="1">ROUNDUP(SUMPRODUCT(--($D$7:$AE$7=AF$7),$D41:$AE41,$D$3:$AE$3),3)</f>
        <v>10.5</v>
      </c>
      <c r="AG41" s="326">
        <f t="shared" ca="1" si="19"/>
        <v>17</v>
      </c>
      <c r="AH41" s="328" cm="1">
        <f t="array" aca="1" ref="AH41" ca="1">ROUNDUP(SUMPRODUCT(--($D$7:$AE$7=AH$7),$D41:$AE41,$D$3:$AE$3),3)</f>
        <v>12</v>
      </c>
      <c r="AI41" s="328">
        <f t="shared" ca="1" si="20"/>
        <v>21</v>
      </c>
      <c r="AJ41" s="517">
        <f t="shared" ca="1" si="21"/>
        <v>-4</v>
      </c>
      <c r="AK41" s="345" t="s">
        <v>58</v>
      </c>
      <c r="AL41" s="334" t="s">
        <v>90</v>
      </c>
    </row>
    <row r="42" spans="2:38" s="445" customFormat="1" ht="15" customHeight="1">
      <c r="B42" s="797" t="s">
        <v>347</v>
      </c>
      <c r="C42" s="799"/>
      <c r="D42" s="390">
        <f>SUM(D12:D41)</f>
        <v>441.17742116373211</v>
      </c>
      <c r="E42" s="350"/>
      <c r="F42" s="350">
        <f>SUM(F12:F41)</f>
        <v>462.24000000000012</v>
      </c>
      <c r="G42" s="349"/>
      <c r="H42" s="390">
        <f>SUM(H12:H41)</f>
        <v>28.175099375774433</v>
      </c>
      <c r="I42" s="350"/>
      <c r="J42" s="350">
        <f>SUM(J12:J41)</f>
        <v>39.699999999999996</v>
      </c>
      <c r="K42" s="349"/>
      <c r="L42" s="390">
        <f>SUM(L12:L41)</f>
        <v>21.024873506759672</v>
      </c>
      <c r="M42" s="350"/>
      <c r="N42" s="350">
        <f>SUM(N12:N41)</f>
        <v>10.269999999999998</v>
      </c>
      <c r="O42" s="349"/>
      <c r="P42" s="390">
        <f>SUM(P12:P41)</f>
        <v>32.126802566247548</v>
      </c>
      <c r="Q42" s="350"/>
      <c r="R42" s="350">
        <f>SUM(R12:R41)</f>
        <v>29.720000000000002</v>
      </c>
      <c r="S42" s="349"/>
      <c r="T42" s="347">
        <f>SUM(T12:T41)</f>
        <v>32.323324231992927</v>
      </c>
      <c r="U42" s="348"/>
      <c r="V42" s="348">
        <f>SUM(V12:V41)</f>
        <v>88.216407404759664</v>
      </c>
      <c r="W42" s="391"/>
      <c r="X42" s="347">
        <f>SUM(D42,H42,L42,P42,T42)</f>
        <v>554.82752084450669</v>
      </c>
      <c r="Y42" s="348"/>
      <c r="Z42" s="348">
        <f>SUM(F42,J42,N42,R42,V42)</f>
        <v>630.14640740475988</v>
      </c>
      <c r="AA42" s="391"/>
      <c r="AB42" s="347">
        <f>SUM(H42,L42,P42,T42,X42)</f>
        <v>668.47762052528128</v>
      </c>
      <c r="AC42" s="348"/>
      <c r="AD42" s="348">
        <f>SUM(J42,N42,R42,V42,Z42)</f>
        <v>798.05281480951953</v>
      </c>
      <c r="AE42" s="391"/>
      <c r="AF42" s="392"/>
      <c r="AG42" s="393"/>
      <c r="AH42" s="394"/>
      <c r="AI42" s="394"/>
      <c r="AJ42" s="518"/>
      <c r="AK42" s="454"/>
      <c r="AL42" s="455"/>
    </row>
    <row r="43" spans="2:38" s="445" customFormat="1">
      <c r="B43" s="758" t="s">
        <v>112</v>
      </c>
      <c r="C43" s="800"/>
      <c r="D43" s="353">
        <f>MIN(D12:D41)</f>
        <v>0</v>
      </c>
      <c r="E43" s="354"/>
      <c r="F43" s="354">
        <f>MIN(F12:F41)</f>
        <v>0</v>
      </c>
      <c r="G43" s="355"/>
      <c r="H43" s="353">
        <f>MIN(H12:H41)</f>
        <v>0</v>
      </c>
      <c r="I43" s="354"/>
      <c r="J43" s="354">
        <f>MIN(J12:J41)</f>
        <v>0</v>
      </c>
      <c r="K43" s="355"/>
      <c r="L43" s="353">
        <f>MIN(L12:L41)</f>
        <v>0</v>
      </c>
      <c r="M43" s="354"/>
      <c r="N43" s="354">
        <f>MIN(N12:N41)</f>
        <v>0</v>
      </c>
      <c r="O43" s="355"/>
      <c r="P43" s="353">
        <f>MIN(P12:P41)</f>
        <v>0</v>
      </c>
      <c r="Q43" s="354"/>
      <c r="R43" s="354">
        <f>MIN(R12:R41)</f>
        <v>0</v>
      </c>
      <c r="S43" s="355"/>
      <c r="T43" s="353">
        <f>MIN(T12:T41)</f>
        <v>0</v>
      </c>
      <c r="U43" s="354"/>
      <c r="V43" s="354">
        <f>MIN(V12:V41)</f>
        <v>7.5781839224281561E-6</v>
      </c>
      <c r="W43" s="355"/>
      <c r="X43" s="353">
        <f>MIN(X12:X41)</f>
        <v>1.2347826086956523E-3</v>
      </c>
      <c r="Y43" s="354"/>
      <c r="Z43" s="354">
        <f>MIN(Z12:Z42)</f>
        <v>1.2717391304347828E-3</v>
      </c>
      <c r="AA43" s="355"/>
      <c r="AB43" s="353">
        <f>MIN(AB12:AB41)</f>
        <v>0.15711286909346431</v>
      </c>
      <c r="AC43" s="354"/>
      <c r="AD43" s="354">
        <f>MIN(AD12:AD42)</f>
        <v>1.62</v>
      </c>
      <c r="AE43" s="355"/>
      <c r="AF43" s="395">
        <f ca="1">MIN(AF12:AF41)</f>
        <v>1</v>
      </c>
      <c r="AG43" s="396"/>
      <c r="AH43" s="397">
        <f ca="1">MIN(AH12:AH41)</f>
        <v>1</v>
      </c>
      <c r="AI43" s="397"/>
      <c r="AJ43" s="518"/>
      <c r="AK43" s="456"/>
    </row>
    <row r="44" spans="2:38" s="445" customFormat="1">
      <c r="B44" s="760" t="s">
        <v>113</v>
      </c>
      <c r="C44" s="801"/>
      <c r="D44" s="361">
        <f>MAX(D12:D41)</f>
        <v>260.36532002631475</v>
      </c>
      <c r="E44" s="359"/>
      <c r="F44" s="359">
        <f>MAX(F12:F41)</f>
        <v>261.32</v>
      </c>
      <c r="G44" s="360"/>
      <c r="H44" s="361">
        <f>MAX(H12:H41)</f>
        <v>12.384685745394627</v>
      </c>
      <c r="I44" s="359"/>
      <c r="J44" s="359">
        <f>MAX(J12:J41)</f>
        <v>29.24</v>
      </c>
      <c r="K44" s="360"/>
      <c r="L44" s="361">
        <f>MAX(L12:L41)</f>
        <v>18.927365501749108</v>
      </c>
      <c r="M44" s="359"/>
      <c r="N44" s="359">
        <f>MAX(N12:N41)</f>
        <v>7.61</v>
      </c>
      <c r="O44" s="360"/>
      <c r="P44" s="361">
        <f>MAX(P12:P41)</f>
        <v>31.014423076947804</v>
      </c>
      <c r="Q44" s="359"/>
      <c r="R44" s="359">
        <f>MAX(R12:R41)</f>
        <v>27.12</v>
      </c>
      <c r="S44" s="360"/>
      <c r="T44" s="361">
        <f>MAX(T12:T41)</f>
        <v>13.478841652229233</v>
      </c>
      <c r="U44" s="359"/>
      <c r="V44" s="359">
        <f>MAX(V12:V41)</f>
        <v>44.066922811094059</v>
      </c>
      <c r="W44" s="360"/>
      <c r="X44" s="361">
        <f>MAX(X12:X41)</f>
        <v>333.66268953790626</v>
      </c>
      <c r="Y44" s="359"/>
      <c r="Z44" s="359">
        <f>MAX(Z12:Z41)</f>
        <v>369.35692281109408</v>
      </c>
      <c r="AA44" s="360"/>
      <c r="AB44" s="361">
        <f>MAX(AB12:AB41)</f>
        <v>351.84916177531221</v>
      </c>
      <c r="AC44" s="359"/>
      <c r="AD44" s="359">
        <f>MAX(AD12:AD41)</f>
        <v>387.3</v>
      </c>
      <c r="AE44" s="360"/>
      <c r="AF44" s="398">
        <f ca="1">MAX(AF12:AF41)</f>
        <v>18</v>
      </c>
      <c r="AG44" s="399"/>
      <c r="AH44" s="400">
        <f ca="1">MAX(AH12:AH41)</f>
        <v>18</v>
      </c>
      <c r="AI44" s="400"/>
      <c r="AJ44" s="519"/>
      <c r="AK44" s="457"/>
      <c r="AL44" s="458"/>
    </row>
    <row r="47" spans="2:38" ht="129" customHeight="1">
      <c r="AB47" s="812" t="s">
        <v>405</v>
      </c>
      <c r="AC47" s="812"/>
      <c r="AD47" s="812"/>
      <c r="AE47" s="812"/>
    </row>
  </sheetData>
  <sheetProtection formatCells="0"/>
  <mergeCells count="34">
    <mergeCell ref="AK8:AK11"/>
    <mergeCell ref="AL8:AL11"/>
    <mergeCell ref="D9:G9"/>
    <mergeCell ref="H9:K9"/>
    <mergeCell ref="L9:O9"/>
    <mergeCell ref="P9:S9"/>
    <mergeCell ref="T9:W9"/>
    <mergeCell ref="X9:AA9"/>
    <mergeCell ref="AB9:AE9"/>
    <mergeCell ref="AF9:AJ9"/>
    <mergeCell ref="D10:E10"/>
    <mergeCell ref="F10:G10"/>
    <mergeCell ref="H10:I10"/>
    <mergeCell ref="J10:K10"/>
    <mergeCell ref="L10:M10"/>
    <mergeCell ref="N10:O10"/>
    <mergeCell ref="AJ10:AJ11"/>
    <mergeCell ref="B42:C42"/>
    <mergeCell ref="B43:C43"/>
    <mergeCell ref="R10:S10"/>
    <mergeCell ref="T10:U10"/>
    <mergeCell ref="V10:W10"/>
    <mergeCell ref="X10:Y10"/>
    <mergeCell ref="Z10:AA10"/>
    <mergeCell ref="AB10:AC10"/>
    <mergeCell ref="B8:B11"/>
    <mergeCell ref="C8:C11"/>
    <mergeCell ref="D8:AJ8"/>
    <mergeCell ref="B44:C44"/>
    <mergeCell ref="AB47:AE47"/>
    <mergeCell ref="AD10:AE10"/>
    <mergeCell ref="AF10:AG10"/>
    <mergeCell ref="AH10:AI10"/>
    <mergeCell ref="P10:Q10"/>
  </mergeCells>
  <conditionalFormatting sqref="AJ12:AJ41">
    <cfRule type="cellIs" dxfId="8" priority="1" operator="equal">
      <formula>0</formula>
    </cfRule>
    <cfRule type="cellIs" dxfId="7" priority="2" operator="greaterThan">
      <formula>0</formula>
    </cfRule>
    <cfRule type="cellIs" dxfId="6" priority="3" operator="lessThan">
      <formula>0</formula>
    </cfRule>
  </conditionalFormatting>
  <hyperlinks>
    <hyperlink ref="A6" location="rng_Cover_Copyright" display="Subject to terms and conditions" xr:uid="{67E3B99F-9017-4830-8056-6E94A255C6DF}"/>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BD871-E29C-4C34-B153-3E5DCFD9B18D}">
  <sheetPr codeName="Sheet17"/>
  <dimension ref="A1:BJ64"/>
  <sheetViews>
    <sheetView showGridLines="0" zoomScale="90" zoomScaleNormal="90" workbookViewId="0">
      <pane xSplit="3" ySplit="12" topLeftCell="D13" activePane="bottomRight" state="frozen"/>
      <selection activeCell="C61" sqref="C61"/>
      <selection pane="topRight" activeCell="C61" sqref="C61"/>
      <selection pane="bottomLeft" activeCell="C61" sqref="C61"/>
      <selection pane="bottomRight" activeCell="A2" sqref="A2"/>
    </sheetView>
  </sheetViews>
  <sheetFormatPr defaultColWidth="9.140625" defaultRowHeight="12.75" outlineLevelCol="1"/>
  <cols>
    <col min="1" max="1" width="10.7109375" style="21" customWidth="1"/>
    <col min="2" max="2" width="16.42578125" style="21" customWidth="1"/>
    <col min="3" max="3" width="11.85546875" style="21" customWidth="1"/>
    <col min="4" max="23" width="9.140625" style="21" customWidth="1"/>
    <col min="24" max="27" width="9.140625" style="21" customWidth="1" outlineLevel="1"/>
    <col min="28" max="55" width="9.140625" style="21" customWidth="1"/>
    <col min="56" max="56" width="17" style="21" customWidth="1"/>
    <col min="57" max="57" width="9.140625" style="21"/>
    <col min="58" max="58" width="9.5703125" style="21" bestFit="1" customWidth="1"/>
    <col min="59" max="61" width="9.140625" style="21"/>
    <col min="62" max="62" width="18.42578125" style="21" customWidth="1"/>
    <col min="63" max="16384" width="9.140625" style="21"/>
  </cols>
  <sheetData>
    <row r="1" spans="1:62" s="24" customFormat="1" ht="38.1" customHeight="1">
      <c r="G1" s="24" t="str" cm="1">
        <f t="array" aca="1" ref="G1" ca="1">IFERROR(MID(CELL("filename",A1),FIND("]",CELL("filename",A1))+1,255),"(Becomes sheet name when saved; delete if not required.)")</f>
        <v>ESG</v>
      </c>
    </row>
    <row r="2" spans="1:62" s="34" customFormat="1"/>
    <row r="3" spans="1:62" s="34" customFormat="1" ht="15">
      <c r="A3" s="39" t="s">
        <v>19</v>
      </c>
      <c r="B3" s="20" t="s">
        <v>406</v>
      </c>
      <c r="D3" s="431">
        <f ca="1">IF(D6="Score",IFERROR(VLOOKUP($G$1&amp;D4&amp;D5,RawData!$A$3:$I$22,8,FALSE),0),0)</f>
        <v>0</v>
      </c>
      <c r="E3" s="431">
        <f>IF(E6="Score",IFERROR(VLOOKUP($G$1&amp;E4&amp;E5,RawData!$A$3:$I$22,8,FALSE),0),0)</f>
        <v>0</v>
      </c>
      <c r="F3" s="431">
        <f ca="1">IF(F6="Score",IFERROR(VLOOKUP($G$1&amp;F4&amp;F5,RawData!$A$3:$I$22,8,FALSE),0),0)</f>
        <v>0</v>
      </c>
      <c r="G3" s="431">
        <f>IF(G6="Score",IFERROR(VLOOKUP($G$1&amp;G4&amp;G5,RawData!$A$3:$I$22,8,FALSE),0),0)</f>
        <v>0</v>
      </c>
      <c r="H3" s="431">
        <f>IF(H6="Score",IFERROR(VLOOKUP($G$1&amp;H4&amp;H5,RawData!$A$3:$I$22,8,FALSE),0),0)</f>
        <v>0</v>
      </c>
      <c r="I3" s="431">
        <f>IF(I6="Score",IFERROR(VLOOKUP($G$1&amp;I4&amp;I5,RawData!$A$3:$I$22,8,FALSE),0),0)</f>
        <v>0</v>
      </c>
      <c r="J3" s="431">
        <f>IF(J6="Score",IFERROR(VLOOKUP($G$1&amp;J4&amp;J5,RawData!$A$3:$I$22,8,FALSE),0),0)</f>
        <v>0</v>
      </c>
      <c r="K3" s="431">
        <f>IF(K6="Score",IFERROR(VLOOKUP($G$1&amp;K4&amp;K5,RawData!$A$3:$I$22,8,FALSE),0),0)</f>
        <v>0</v>
      </c>
      <c r="L3" s="431">
        <f ca="1">IF(L6="Score",IFERROR(VLOOKUP($G$1&amp;L4&amp;L5,RawData!$A$3:$I$22,8,FALSE),0),0)</f>
        <v>0</v>
      </c>
      <c r="M3" s="431">
        <f>IF(M6="Score",IFERROR(VLOOKUP($G$1&amp;M4&amp;M5,RawData!$A$3:$I$22,8,FALSE),0),0)</f>
        <v>0</v>
      </c>
      <c r="N3" s="431">
        <f ca="1">IF(N6="Score",IFERROR(VLOOKUP($G$1&amp;N4&amp;N5,RawData!$A$3:$I$22,8,FALSE),0),0)</f>
        <v>0</v>
      </c>
      <c r="O3" s="431">
        <f>IF(O6="Score",IFERROR(VLOOKUP($G$1&amp;O4&amp;O5,RawData!$A$3:$I$22,8,FALSE),0),0)</f>
        <v>0</v>
      </c>
      <c r="P3" s="431">
        <f ca="1">IF(P6="Score",IFERROR(VLOOKUP($G$1&amp;P4&amp;P5,RawData!$A$3:$I$22,8,FALSE),0),0)</f>
        <v>0</v>
      </c>
      <c r="Q3" s="431">
        <f>IF(Q6="Score",IFERROR(VLOOKUP($G$1&amp;Q4&amp;Q5,RawData!$A$3:$I$22,8,FALSE),0),0)</f>
        <v>0</v>
      </c>
      <c r="R3" s="431">
        <f ca="1">IF(R6="Score",IFERROR(VLOOKUP($G$1&amp;R4&amp;R5,RawData!$A$3:$I$22,8,FALSE),0),0)</f>
        <v>0</v>
      </c>
      <c r="S3" s="431">
        <f>IF(S6="Score",IFERROR(VLOOKUP($G$1&amp;S4&amp;S5,RawData!$A$3:$I$22,8,FALSE),0),0)</f>
        <v>0</v>
      </c>
      <c r="T3" s="431">
        <f ca="1">IF(T6="Score",IFERROR(VLOOKUP($G$1&amp;T4&amp;T5,RawData!$A$3:$I$22,8,FALSE),0),0)</f>
        <v>0</v>
      </c>
      <c r="U3" s="431">
        <f>IF(U6="Score",IFERROR(VLOOKUP($G$1&amp;U4&amp;U5,RawData!$A$3:$I$22,8,FALSE),0),0)</f>
        <v>0</v>
      </c>
      <c r="V3" s="431">
        <f ca="1">IF(V6="Score",IFERROR(VLOOKUP($G$1&amp;V4&amp;V5,RawData!$A$3:$I$22,8,FALSE),0),0)</f>
        <v>0</v>
      </c>
      <c r="W3" s="431">
        <f>IF(W6="Score",IFERROR(VLOOKUP($G$1&amp;W4&amp;W5,RawData!$A$3:$I$22,8,FALSE),0),0)</f>
        <v>0</v>
      </c>
      <c r="X3" s="431">
        <f ca="1">IF(X6="Score",IFERROR(VLOOKUP($G$1&amp;X4&amp;X5,RawData!$A$3:$I$22,8,FALSE),0),0)</f>
        <v>0</v>
      </c>
      <c r="Y3" s="431">
        <f>IF(Y6="Score",IFERROR(VLOOKUP($G$1&amp;Y4&amp;Y5,RawData!$A$3:$I$22,8,FALSE),0),0)</f>
        <v>0</v>
      </c>
      <c r="Z3" s="431">
        <f ca="1">IF(Z6="Score",IFERROR(VLOOKUP($G$1&amp;Z4&amp;Z5,RawData!$A$3:$I$22,8,FALSE),0),0)</f>
        <v>0</v>
      </c>
      <c r="AA3" s="431">
        <f>IF(AA6="Score",IFERROR(VLOOKUP($G$1&amp;AA4&amp;AA5,RawData!$A$3:$I$22,8,FALSE),0),0)</f>
        <v>0</v>
      </c>
      <c r="AB3" s="431">
        <f ca="1">IF(AB6="Score",IFERROR(VLOOKUP($G$1&amp;AB4&amp;AB5,RawData!$A$3:$I$22,8,FALSE),0),0)</f>
        <v>0.33333333333333331</v>
      </c>
      <c r="AC3" s="431">
        <f>IF(AC6="Score",IFERROR(VLOOKUP($G$1&amp;AC4&amp;AC5,RawData!$A$3:$I$22,8,FALSE),0),0)</f>
        <v>0</v>
      </c>
      <c r="AD3" s="431">
        <f ca="1">IF(AD6="Score",IFERROR(VLOOKUP($G$1&amp;AD4&amp;AD5,RawData!$A$3:$I$22,8,FALSE),0),0)</f>
        <v>0.33333333333333331</v>
      </c>
      <c r="AE3" s="431">
        <f>IF(AE6="Score",IFERROR(VLOOKUP($G$1&amp;AE4&amp;AE5,RawData!$A$3:$I$22,8,FALSE),0),0)</f>
        <v>0</v>
      </c>
      <c r="AF3" s="431">
        <f ca="1">IF(AF6="Score",IFERROR(VLOOKUP($G$1&amp;AF4&amp;AF5,RawData!$A$3:$I$22,8,FALSE),0),0)</f>
        <v>0</v>
      </c>
      <c r="AG3" s="431">
        <f>IF(AG6="Score",IFERROR(VLOOKUP($G$1&amp;AG4&amp;AG5,RawData!$A$3:$I$22,8,FALSE),0),0)</f>
        <v>0</v>
      </c>
      <c r="AH3" s="431">
        <f ca="1">IF(AH6="Score",IFERROR(VLOOKUP($G$1&amp;AH4&amp;AH5,RawData!$A$3:$I$22,8,FALSE),0),0)</f>
        <v>0</v>
      </c>
      <c r="AI3" s="431">
        <f>IF(AI6="Score",IFERROR(VLOOKUP($G$1&amp;AI4&amp;AI5,RawData!$A$3:$I$22,8,FALSE),0),0)</f>
        <v>0</v>
      </c>
      <c r="AJ3" s="431">
        <f ca="1">IF(AJ6="Score",IFERROR(VLOOKUP($G$1&amp;AJ4&amp;AJ5,RawData!$A$3:$I$22,8,FALSE),0),0)</f>
        <v>0</v>
      </c>
      <c r="AK3" s="431">
        <f>IF(AK6="Score",IFERROR(VLOOKUP($G$1&amp;AK4&amp;AK5,RawData!$A$3:$I$22,8,FALSE),0),0)</f>
        <v>0</v>
      </c>
      <c r="AL3" s="431">
        <f ca="1">IF(AL6="Score",IFERROR(VLOOKUP($G$1&amp;AL4&amp;AL5,RawData!$A$3:$I$22,8,FALSE),0),0)</f>
        <v>0</v>
      </c>
      <c r="AM3" s="431">
        <f>IF(AM6="Score",IFERROR(VLOOKUP($G$1&amp;AM4&amp;AM5,RawData!$A$3:$I$22,8,FALSE),0),0)</f>
        <v>0</v>
      </c>
      <c r="AN3" s="431">
        <f ca="1">IF(AN6="Score",IFERROR(VLOOKUP($G$1&amp;AN4&amp;AN5,RawData!$A$3:$I$22,8,FALSE),0),0)</f>
        <v>0.33333333333333331</v>
      </c>
      <c r="AO3" s="431">
        <f>IF(AO6="Score",IFERROR(VLOOKUP($G$1&amp;AO4&amp;AO5,RawData!$A$3:$I$22,8,FALSE),0),0)</f>
        <v>0</v>
      </c>
      <c r="AP3" s="431">
        <f ca="1">IF(AP6="Score",IFERROR(VLOOKUP($G$1&amp;AP4&amp;AP5,RawData!$A$3:$I$22,8,FALSE),0),0)</f>
        <v>0.33333333333333331</v>
      </c>
      <c r="AQ3" s="431">
        <f>IF(AQ6="Score",IFERROR(VLOOKUP($G$1&amp;AQ4&amp;AQ5,RawData!$A$3:$I$22,8,FALSE),0),0)</f>
        <v>0</v>
      </c>
      <c r="AR3" s="431">
        <f ca="1">IF(AR6="Score",IFERROR(VLOOKUP($G$1&amp;AR4&amp;AR5,RawData!$A$3:$I$22,8,FALSE),0),0)</f>
        <v>0</v>
      </c>
      <c r="AS3" s="431">
        <f>IF(AS6="Score",IFERROR(VLOOKUP($G$1&amp;AS4&amp;AS5,RawData!$A$3:$I$22,8,FALSE),0),0)</f>
        <v>0</v>
      </c>
      <c r="AT3" s="431">
        <f ca="1">IF(AT6="Score",IFERROR(VLOOKUP($G$1&amp;AT4&amp;AT5,RawData!$A$3:$I$22,8,FALSE),0),0)</f>
        <v>0</v>
      </c>
      <c r="AU3" s="431">
        <f>IF(AU6="Score",IFERROR(VLOOKUP($G$1&amp;AU4&amp;AU5,RawData!$A$3:$I$22,8,FALSE),0),0)</f>
        <v>0</v>
      </c>
      <c r="AV3" s="431">
        <f ca="1">IF(AV6="Score",IFERROR(VLOOKUP($G$1&amp;AV4&amp;AV5,RawData!$A$3:$I$22,8,FALSE),0),0)</f>
        <v>0</v>
      </c>
      <c r="AW3" s="431">
        <f>IF(AW6="Score",IFERROR(VLOOKUP($G$1&amp;AW4&amp;AW5,RawData!$A$3:$I$22,8,FALSE),0),0)</f>
        <v>0</v>
      </c>
      <c r="AX3" s="431">
        <f ca="1">IF(AX6="Score",IFERROR(VLOOKUP($G$1&amp;AX4&amp;AX5,RawData!$A$3:$I$22,8,FALSE),0),0)</f>
        <v>0</v>
      </c>
      <c r="AY3" s="431">
        <f>IF(AY6="Score",IFERROR(VLOOKUP($G$1&amp;AY4&amp;AY5,RawData!$A$3:$I$22,8,FALSE),0),0)</f>
        <v>0</v>
      </c>
      <c r="AZ3" s="431">
        <f ca="1">IF(AZ6="Score",IFERROR(VLOOKUP($G$1&amp;AZ4&amp;AZ5,RawData!$A$3:$I$22,8,FALSE),0),0)</f>
        <v>0.33333333333333331</v>
      </c>
      <c r="BA3" s="431">
        <f>IF(BA6="Score",IFERROR(VLOOKUP($G$1&amp;BA4&amp;BA5,RawData!$A$3:$I$22,8,FALSE),0),0)</f>
        <v>0</v>
      </c>
      <c r="BB3" s="431">
        <f ca="1">IF(BB6="Score",IFERROR(VLOOKUP($G$1&amp;BB4&amp;BB5,RawData!$A$3:$I$22,8,FALSE),0),0)</f>
        <v>0.33333333333333331</v>
      </c>
      <c r="BC3" s="431">
        <f>IF(BC6="Score",IFERROR(VLOOKUP($G$1&amp;BC4&amp;BC5,RawData!$A$3:$I$22,8,FALSE),0),0)</f>
        <v>0</v>
      </c>
    </row>
    <row r="4" spans="1:62" s="34" customFormat="1">
      <c r="A4" s="39" t="s">
        <v>20</v>
      </c>
      <c r="B4" s="22"/>
      <c r="D4" s="34" t="str">
        <f>IF(D9="",C5,D9)</f>
        <v>Environmental</v>
      </c>
      <c r="E4" s="34" t="str">
        <f t="shared" ref="E4:AJ4" si="0">IF(E9="",D4,E9)</f>
        <v>Environmental</v>
      </c>
      <c r="F4" s="34" t="str">
        <f t="shared" si="0"/>
        <v>Environmental</v>
      </c>
      <c r="G4" s="34" t="str">
        <f t="shared" si="0"/>
        <v>Environmental</v>
      </c>
      <c r="H4" s="34" t="str">
        <f t="shared" si="0"/>
        <v>Environmental</v>
      </c>
      <c r="I4" s="34" t="str">
        <f t="shared" si="0"/>
        <v>Environmental</v>
      </c>
      <c r="J4" s="34" t="str">
        <f t="shared" si="0"/>
        <v>Environmental</v>
      </c>
      <c r="K4" s="34" t="str">
        <f t="shared" si="0"/>
        <v>Environmental</v>
      </c>
      <c r="L4" s="34" t="str">
        <f t="shared" si="0"/>
        <v>Environmental</v>
      </c>
      <c r="M4" s="34" t="str">
        <f t="shared" si="0"/>
        <v>Environmental</v>
      </c>
      <c r="N4" s="34" t="str">
        <f t="shared" si="0"/>
        <v>Environmental</v>
      </c>
      <c r="O4" s="34" t="str">
        <f t="shared" si="0"/>
        <v>Environmental</v>
      </c>
      <c r="P4" s="34" t="str">
        <f t="shared" si="0"/>
        <v>Environmental</v>
      </c>
      <c r="Q4" s="34" t="str">
        <f t="shared" si="0"/>
        <v>Environmental</v>
      </c>
      <c r="R4" s="34" t="str">
        <f t="shared" si="0"/>
        <v>Environmental</v>
      </c>
      <c r="S4" s="34" t="str">
        <f t="shared" si="0"/>
        <v>Environmental</v>
      </c>
      <c r="T4" s="34" t="str">
        <f t="shared" si="0"/>
        <v>Environmental</v>
      </c>
      <c r="U4" s="34" t="str">
        <f t="shared" si="0"/>
        <v>Environmental</v>
      </c>
      <c r="V4" s="34" t="str">
        <f t="shared" si="0"/>
        <v>Environmental</v>
      </c>
      <c r="W4" s="34" t="str">
        <f t="shared" si="0"/>
        <v>Environmental</v>
      </c>
      <c r="X4" s="34" t="str">
        <f t="shared" si="0"/>
        <v>Environmental</v>
      </c>
      <c r="Y4" s="34" t="str">
        <f t="shared" si="0"/>
        <v>Environmental</v>
      </c>
      <c r="Z4" s="34" t="str">
        <f t="shared" si="0"/>
        <v>Environmental</v>
      </c>
      <c r="AA4" s="34" t="str">
        <f t="shared" si="0"/>
        <v>Environmental</v>
      </c>
      <c r="AB4" s="34" t="str">
        <f t="shared" si="0"/>
        <v>Environmental</v>
      </c>
      <c r="AC4" s="34" t="str">
        <f t="shared" si="0"/>
        <v>Environmental</v>
      </c>
      <c r="AD4" s="34" t="str">
        <f t="shared" si="0"/>
        <v>Environmental</v>
      </c>
      <c r="AE4" s="34" t="str">
        <f t="shared" si="0"/>
        <v>Environmental</v>
      </c>
      <c r="AF4" s="34" t="str">
        <f t="shared" si="0"/>
        <v>Social</v>
      </c>
      <c r="AG4" s="34" t="str">
        <f t="shared" si="0"/>
        <v>Social</v>
      </c>
      <c r="AH4" s="34" t="str">
        <f t="shared" si="0"/>
        <v>Social</v>
      </c>
      <c r="AI4" s="34" t="str">
        <f t="shared" si="0"/>
        <v>Social</v>
      </c>
      <c r="AJ4" s="34" t="str">
        <f t="shared" si="0"/>
        <v>Social</v>
      </c>
      <c r="AK4" s="34" t="str">
        <f t="shared" ref="AK4:BC4" si="1">IF(AK9="",AJ4,AK9)</f>
        <v>Social</v>
      </c>
      <c r="AL4" s="34" t="str">
        <f t="shared" si="1"/>
        <v>Social</v>
      </c>
      <c r="AM4" s="34" t="str">
        <f t="shared" si="1"/>
        <v>Social</v>
      </c>
      <c r="AN4" s="34" t="str">
        <f t="shared" si="1"/>
        <v>Social</v>
      </c>
      <c r="AO4" s="34" t="str">
        <f t="shared" si="1"/>
        <v>Social</v>
      </c>
      <c r="AP4" s="34" t="str">
        <f t="shared" si="1"/>
        <v>Social</v>
      </c>
      <c r="AQ4" s="34" t="str">
        <f t="shared" si="1"/>
        <v>Social</v>
      </c>
      <c r="AR4" s="34" t="str">
        <f t="shared" si="1"/>
        <v>Governance</v>
      </c>
      <c r="AS4" s="34" t="str">
        <f t="shared" si="1"/>
        <v>Governance</v>
      </c>
      <c r="AT4" s="34" t="str">
        <f t="shared" si="1"/>
        <v>Governance</v>
      </c>
      <c r="AU4" s="34" t="str">
        <f t="shared" si="1"/>
        <v>Governance</v>
      </c>
      <c r="AV4" s="34" t="str">
        <f t="shared" si="1"/>
        <v>Governance</v>
      </c>
      <c r="AW4" s="34" t="str">
        <f t="shared" si="1"/>
        <v>Governance</v>
      </c>
      <c r="AX4" s="34" t="str">
        <f t="shared" si="1"/>
        <v>Governance</v>
      </c>
      <c r="AY4" s="34" t="str">
        <f t="shared" si="1"/>
        <v>Governance</v>
      </c>
      <c r="AZ4" s="34" t="str">
        <f t="shared" si="1"/>
        <v>Governance</v>
      </c>
      <c r="BA4" s="34" t="str">
        <f t="shared" si="1"/>
        <v>Governance</v>
      </c>
      <c r="BB4" s="34" t="str">
        <f t="shared" si="1"/>
        <v>Governance</v>
      </c>
      <c r="BC4" s="34" t="str">
        <f t="shared" si="1"/>
        <v>Governance</v>
      </c>
    </row>
    <row r="5" spans="1:62" s="34" customFormat="1">
      <c r="A5" s="39" t="s">
        <v>21</v>
      </c>
      <c r="B5" s="22"/>
      <c r="D5" s="21" t="str">
        <f>IF(D10="",C6,D10)</f>
        <v>Renewable Energy Policy</v>
      </c>
      <c r="E5" s="21" t="str">
        <f t="shared" ref="E5:AJ5" si="2">IF(E10="",D5,E10)</f>
        <v>Renewable Energy Policy</v>
      </c>
      <c r="F5" s="21" t="str">
        <f t="shared" si="2"/>
        <v>Renewable Energy Policy</v>
      </c>
      <c r="G5" s="21" t="str">
        <f t="shared" si="2"/>
        <v>Renewable Energy Policy</v>
      </c>
      <c r="H5" s="21" t="str">
        <f t="shared" si="2"/>
        <v>Grid Carbon Intensity</v>
      </c>
      <c r="I5" s="21" t="str">
        <f t="shared" si="2"/>
        <v>Grid Carbon Intensity</v>
      </c>
      <c r="J5" s="21" t="str">
        <f t="shared" si="2"/>
        <v>Grid Carbon Intensity</v>
      </c>
      <c r="K5" s="21" t="str">
        <f t="shared" si="2"/>
        <v>Grid Carbon Intensity</v>
      </c>
      <c r="L5" s="21" t="str">
        <f t="shared" si="2"/>
        <v>Carbon Prices</v>
      </c>
      <c r="M5" s="21" t="str">
        <f t="shared" si="2"/>
        <v>Carbon Prices</v>
      </c>
      <c r="N5" s="21" t="str">
        <f t="shared" si="2"/>
        <v>Carbon Prices</v>
      </c>
      <c r="O5" s="21" t="str">
        <f t="shared" si="2"/>
        <v>Carbon Prices</v>
      </c>
      <c r="P5" s="21" t="str">
        <f t="shared" si="2"/>
        <v>Environmental Health</v>
      </c>
      <c r="Q5" s="21" t="str">
        <f t="shared" si="2"/>
        <v>Environmental Health</v>
      </c>
      <c r="R5" s="21" t="str">
        <f t="shared" si="2"/>
        <v>Environmental Health</v>
      </c>
      <c r="S5" s="21" t="str">
        <f t="shared" si="2"/>
        <v>Environmental Health</v>
      </c>
      <c r="T5" s="21" t="str">
        <f t="shared" si="2"/>
        <v>Ecosystem Vitality</v>
      </c>
      <c r="U5" s="21" t="str">
        <f t="shared" si="2"/>
        <v>Ecosystem Vitality</v>
      </c>
      <c r="V5" s="21" t="str">
        <f t="shared" si="2"/>
        <v>Ecosystem Vitality</v>
      </c>
      <c r="W5" s="21" t="str">
        <f t="shared" si="2"/>
        <v>Ecosystem Vitality</v>
      </c>
      <c r="X5" s="21" t="str">
        <f t="shared" si="2"/>
        <v>Country Risk</v>
      </c>
      <c r="Y5" s="21" t="str">
        <f t="shared" si="2"/>
        <v>Country Risk</v>
      </c>
      <c r="Z5" s="21" t="str">
        <f t="shared" si="2"/>
        <v>Country Risk</v>
      </c>
      <c r="AA5" s="21" t="str">
        <f t="shared" si="2"/>
        <v>Country Risk</v>
      </c>
      <c r="AB5" s="21" t="str">
        <f t="shared" si="2"/>
        <v>Sub-Catergory Total</v>
      </c>
      <c r="AC5" s="21" t="str">
        <f t="shared" si="2"/>
        <v>Sub-Catergory Total</v>
      </c>
      <c r="AD5" s="21" t="str">
        <f t="shared" si="2"/>
        <v>Sub-Catergory Total</v>
      </c>
      <c r="AE5" s="21" t="str">
        <f t="shared" si="2"/>
        <v>Sub-Catergory Total</v>
      </c>
      <c r="AF5" s="21" t="str">
        <f t="shared" si="2"/>
        <v>Fundamental Labor Rights</v>
      </c>
      <c r="AG5" s="21" t="str">
        <f t="shared" si="2"/>
        <v>Fundamental Labor Rights</v>
      </c>
      <c r="AH5" s="21" t="str">
        <f t="shared" si="2"/>
        <v>Fundamental Labor Rights</v>
      </c>
      <c r="AI5" s="21" t="str">
        <f t="shared" si="2"/>
        <v>Fundamental Labor Rights</v>
      </c>
      <c r="AJ5" s="21" t="str">
        <f t="shared" si="2"/>
        <v>Gender Equality</v>
      </c>
      <c r="AK5" s="21" t="str">
        <f t="shared" ref="AK5:BC5" si="3">IF(AK10="",AJ5,AK10)</f>
        <v>Gender Equality</v>
      </c>
      <c r="AL5" s="21" t="str">
        <f t="shared" si="3"/>
        <v>Gender Equality</v>
      </c>
      <c r="AM5" s="21" t="str">
        <f t="shared" si="3"/>
        <v>Gender Equality</v>
      </c>
      <c r="AN5" s="21" t="str">
        <f t="shared" si="3"/>
        <v>Sub-Catergory Total</v>
      </c>
      <c r="AO5" s="21" t="str">
        <f t="shared" si="3"/>
        <v>Sub-Catergory Total</v>
      </c>
      <c r="AP5" s="21" t="str">
        <f t="shared" si="3"/>
        <v>Sub-Catergory Total</v>
      </c>
      <c r="AQ5" s="21" t="str">
        <f t="shared" si="3"/>
        <v>Sub-Catergory Total</v>
      </c>
      <c r="AR5" s="21" t="str">
        <f t="shared" si="3"/>
        <v>Government Effectiveness</v>
      </c>
      <c r="AS5" s="21" t="str">
        <f t="shared" si="3"/>
        <v>Government Effectiveness</v>
      </c>
      <c r="AT5" s="21" t="str">
        <f t="shared" si="3"/>
        <v>Government Effectiveness</v>
      </c>
      <c r="AU5" s="21" t="str">
        <f t="shared" si="3"/>
        <v>Government Effectiveness</v>
      </c>
      <c r="AV5" s="21" t="str">
        <f t="shared" si="3"/>
        <v>Control of Corruption</v>
      </c>
      <c r="AW5" s="21" t="str">
        <f t="shared" si="3"/>
        <v>Control of Corruption</v>
      </c>
      <c r="AX5" s="21" t="str">
        <f t="shared" si="3"/>
        <v>Control of Corruption</v>
      </c>
      <c r="AY5" s="21" t="str">
        <f t="shared" si="3"/>
        <v>Control of Corruption</v>
      </c>
      <c r="AZ5" s="21" t="str">
        <f t="shared" si="3"/>
        <v>Sub-Catergory Total</v>
      </c>
      <c r="BA5" s="21" t="str">
        <f t="shared" si="3"/>
        <v>Sub-Catergory Total</v>
      </c>
      <c r="BB5" s="21" t="str">
        <f t="shared" si="3"/>
        <v>Sub-Catergory Total</v>
      </c>
      <c r="BC5" s="21" t="str">
        <f t="shared" si="3"/>
        <v>Sub-Catergory Total</v>
      </c>
    </row>
    <row r="6" spans="1:62" s="34" customFormat="1">
      <c r="A6" s="40" t="s">
        <v>0</v>
      </c>
      <c r="B6" s="21"/>
      <c r="C6" s="21"/>
      <c r="D6" s="34" t="str">
        <f t="shared" ref="D6:BB6" si="4">D12</f>
        <v>Score</v>
      </c>
      <c r="E6" s="34" t="str">
        <f t="shared" si="4"/>
        <v>Rank</v>
      </c>
      <c r="F6" s="34" t="str">
        <f t="shared" si="4"/>
        <v>Score</v>
      </c>
      <c r="G6" s="34" t="str">
        <f t="shared" si="4"/>
        <v>Rank</v>
      </c>
      <c r="H6" s="34" t="str">
        <f t="shared" si="4"/>
        <v>grams of CO2 equivalent per kilowatt-hour</v>
      </c>
      <c r="I6" s="34" t="str">
        <f t="shared" si="4"/>
        <v>Rank</v>
      </c>
      <c r="J6" s="34" t="str">
        <f t="shared" si="4"/>
        <v>grams of CO2 equivalent per kilowatt-hour</v>
      </c>
      <c r="K6" s="34" t="str">
        <f t="shared" si="4"/>
        <v>Rank</v>
      </c>
      <c r="L6" s="34" t="str">
        <f t="shared" si="4"/>
        <v>Score</v>
      </c>
      <c r="M6" s="34" t="str">
        <f t="shared" si="4"/>
        <v>Rank</v>
      </c>
      <c r="N6" s="34" t="str">
        <f t="shared" si="4"/>
        <v>Score</v>
      </c>
      <c r="O6" s="34" t="str">
        <f t="shared" si="4"/>
        <v>Rank</v>
      </c>
      <c r="P6" s="34" t="str">
        <f t="shared" si="4"/>
        <v>Score</v>
      </c>
      <c r="Q6" s="34" t="str">
        <f t="shared" si="4"/>
        <v>Rank</v>
      </c>
      <c r="R6" s="34" t="str">
        <f t="shared" si="4"/>
        <v>Score</v>
      </c>
      <c r="S6" s="34" t="str">
        <f t="shared" si="4"/>
        <v>Rank</v>
      </c>
      <c r="T6" s="34" t="str">
        <f t="shared" si="4"/>
        <v>Score</v>
      </c>
      <c r="U6" s="34" t="str">
        <f t="shared" si="4"/>
        <v>Rank</v>
      </c>
      <c r="V6" s="34" t="str">
        <f t="shared" si="4"/>
        <v>Score</v>
      </c>
      <c r="W6" s="34" t="str">
        <f t="shared" si="4"/>
        <v>Rank</v>
      </c>
      <c r="X6" s="34" t="str">
        <f t="shared" si="4"/>
        <v>Score</v>
      </c>
      <c r="Y6" s="34" t="str">
        <f t="shared" si="4"/>
        <v>Rank</v>
      </c>
      <c r="Z6" s="34" t="str">
        <f t="shared" si="4"/>
        <v>Score</v>
      </c>
      <c r="AA6" s="34" t="str">
        <f t="shared" si="4"/>
        <v>Rank</v>
      </c>
      <c r="AB6" s="34" t="str">
        <f t="shared" si="4"/>
        <v>Score</v>
      </c>
      <c r="AC6" s="34" t="str">
        <f t="shared" si="4"/>
        <v>Rank</v>
      </c>
      <c r="AD6" s="34" t="str">
        <f t="shared" si="4"/>
        <v>Score</v>
      </c>
      <c r="AE6" s="34" t="str">
        <f t="shared" si="4"/>
        <v>Rank</v>
      </c>
      <c r="AF6" s="34" t="str">
        <f t="shared" si="4"/>
        <v>Score</v>
      </c>
      <c r="AG6" s="34" t="str">
        <f t="shared" si="4"/>
        <v>Rank</v>
      </c>
      <c r="AH6" s="34" t="str">
        <f t="shared" si="4"/>
        <v>Score</v>
      </c>
      <c r="AI6" s="34" t="str">
        <f t="shared" si="4"/>
        <v>Rank</v>
      </c>
      <c r="AJ6" s="34" t="str">
        <f t="shared" si="4"/>
        <v>Score</v>
      </c>
      <c r="AK6" s="34" t="str">
        <f t="shared" si="4"/>
        <v>Rank</v>
      </c>
      <c r="AL6" s="34" t="str">
        <f t="shared" si="4"/>
        <v>Score</v>
      </c>
      <c r="AM6" s="34" t="str">
        <f t="shared" si="4"/>
        <v>Rank</v>
      </c>
      <c r="AN6" s="34" t="str">
        <f t="shared" si="4"/>
        <v>Score</v>
      </c>
      <c r="AO6" s="34" t="str">
        <f t="shared" si="4"/>
        <v>Rank</v>
      </c>
      <c r="AP6" s="34" t="str">
        <f t="shared" si="4"/>
        <v>Score</v>
      </c>
      <c r="AQ6" s="34" t="str">
        <f t="shared" si="4"/>
        <v>Rank</v>
      </c>
      <c r="AR6" s="34" t="str">
        <f t="shared" si="4"/>
        <v>Score</v>
      </c>
      <c r="AS6" s="34" t="str">
        <f t="shared" si="4"/>
        <v>Rank</v>
      </c>
      <c r="AT6" s="34" t="str">
        <f t="shared" si="4"/>
        <v>Score</v>
      </c>
      <c r="AU6" s="34" t="str">
        <f t="shared" si="4"/>
        <v>Rank</v>
      </c>
      <c r="AV6" s="34" t="str">
        <f t="shared" si="4"/>
        <v>Score</v>
      </c>
      <c r="AW6" s="34" t="str">
        <f t="shared" si="4"/>
        <v>Rank</v>
      </c>
      <c r="AX6" s="34" t="str">
        <f t="shared" si="4"/>
        <v>Score</v>
      </c>
      <c r="AY6" s="34" t="str">
        <f t="shared" si="4"/>
        <v>Rank</v>
      </c>
      <c r="AZ6" s="34" t="str">
        <f t="shared" si="4"/>
        <v>Score</v>
      </c>
      <c r="BA6" s="34" t="str">
        <f t="shared" si="4"/>
        <v>Rank</v>
      </c>
      <c r="BB6" s="34" t="str">
        <f t="shared" si="4"/>
        <v>Score</v>
      </c>
      <c r="BC6" s="34" t="str">
        <f>BC12</f>
        <v>Rank</v>
      </c>
      <c r="BD6" s="21" t="str">
        <f>IF(BD10="",BC5,BD10)</f>
        <v>Sub-Catergory Total</v>
      </c>
      <c r="BE6" s="21" t="str">
        <f t="shared" ref="BE6:BG6" si="5">IF(BE10="",BD6,BE10)</f>
        <v>Sub-Catergory Total</v>
      </c>
      <c r="BF6" s="21" t="str">
        <f t="shared" si="5"/>
        <v>Sub-Catergory Total</v>
      </c>
      <c r="BG6" s="21" t="str">
        <f t="shared" si="5"/>
        <v>Sub-Catergory Total</v>
      </c>
    </row>
    <row r="7" spans="1:62">
      <c r="D7" s="21">
        <f t="shared" ref="D7:BB7" si="6">IF(D11="",C7,D11)</f>
        <v>2022</v>
      </c>
      <c r="E7" s="21">
        <f t="shared" si="6"/>
        <v>2022</v>
      </c>
      <c r="F7" s="21">
        <f t="shared" si="6"/>
        <v>2023</v>
      </c>
      <c r="G7" s="21">
        <f t="shared" si="6"/>
        <v>2023</v>
      </c>
      <c r="H7" s="21">
        <f t="shared" si="6"/>
        <v>2022</v>
      </c>
      <c r="I7" s="21">
        <f t="shared" si="6"/>
        <v>2022</v>
      </c>
      <c r="J7" s="21">
        <f t="shared" si="6"/>
        <v>2023</v>
      </c>
      <c r="K7" s="21">
        <f t="shared" si="6"/>
        <v>2023</v>
      </c>
      <c r="L7" s="21">
        <f t="shared" si="6"/>
        <v>2022</v>
      </c>
      <c r="M7" s="21">
        <f t="shared" si="6"/>
        <v>2022</v>
      </c>
      <c r="N7" s="21">
        <f t="shared" si="6"/>
        <v>2023</v>
      </c>
      <c r="O7" s="21">
        <f t="shared" si="6"/>
        <v>2023</v>
      </c>
      <c r="P7" s="21">
        <f t="shared" si="6"/>
        <v>2022</v>
      </c>
      <c r="Q7" s="21">
        <f t="shared" si="6"/>
        <v>2022</v>
      </c>
      <c r="R7" s="21">
        <f t="shared" si="6"/>
        <v>2023</v>
      </c>
      <c r="S7" s="21">
        <f t="shared" si="6"/>
        <v>2023</v>
      </c>
      <c r="T7" s="21">
        <f t="shared" si="6"/>
        <v>2022</v>
      </c>
      <c r="U7" s="21">
        <f t="shared" si="6"/>
        <v>2022</v>
      </c>
      <c r="V7" s="21">
        <f t="shared" si="6"/>
        <v>2023</v>
      </c>
      <c r="W7" s="21">
        <f t="shared" si="6"/>
        <v>2023</v>
      </c>
      <c r="X7" s="21">
        <f t="shared" si="6"/>
        <v>2022</v>
      </c>
      <c r="Y7" s="21">
        <f t="shared" si="6"/>
        <v>2022</v>
      </c>
      <c r="Z7" s="21">
        <f t="shared" si="6"/>
        <v>2023</v>
      </c>
      <c r="AA7" s="21">
        <f t="shared" si="6"/>
        <v>2023</v>
      </c>
      <c r="AB7" s="21">
        <f t="shared" si="6"/>
        <v>2022</v>
      </c>
      <c r="AC7" s="21">
        <f t="shared" si="6"/>
        <v>2022</v>
      </c>
      <c r="AD7" s="21">
        <f t="shared" si="6"/>
        <v>2023</v>
      </c>
      <c r="AE7" s="21">
        <f t="shared" si="6"/>
        <v>2023</v>
      </c>
      <c r="AF7" s="21">
        <f t="shared" si="6"/>
        <v>2022</v>
      </c>
      <c r="AG7" s="21">
        <f t="shared" si="6"/>
        <v>2022</v>
      </c>
      <c r="AH7" s="21">
        <f t="shared" si="6"/>
        <v>2023</v>
      </c>
      <c r="AI7" s="21">
        <f t="shared" si="6"/>
        <v>2023</v>
      </c>
      <c r="AJ7" s="21">
        <f t="shared" si="6"/>
        <v>2022</v>
      </c>
      <c r="AK7" s="21">
        <f t="shared" si="6"/>
        <v>2022</v>
      </c>
      <c r="AL7" s="21">
        <f t="shared" si="6"/>
        <v>2023</v>
      </c>
      <c r="AM7" s="21">
        <f t="shared" si="6"/>
        <v>2023</v>
      </c>
      <c r="AN7" s="21">
        <f t="shared" si="6"/>
        <v>2022</v>
      </c>
      <c r="AO7" s="21">
        <f t="shared" si="6"/>
        <v>2022</v>
      </c>
      <c r="AP7" s="21">
        <f t="shared" si="6"/>
        <v>2023</v>
      </c>
      <c r="AQ7" s="21">
        <f t="shared" si="6"/>
        <v>2023</v>
      </c>
      <c r="AR7" s="21">
        <f t="shared" si="6"/>
        <v>2022</v>
      </c>
      <c r="AS7" s="21">
        <f t="shared" si="6"/>
        <v>2022</v>
      </c>
      <c r="AT7" s="21">
        <f t="shared" si="6"/>
        <v>2023</v>
      </c>
      <c r="AU7" s="21">
        <f t="shared" si="6"/>
        <v>2023</v>
      </c>
      <c r="AV7" s="21">
        <f t="shared" si="6"/>
        <v>2022</v>
      </c>
      <c r="AW7" s="21">
        <f t="shared" si="6"/>
        <v>2022</v>
      </c>
      <c r="AX7" s="21">
        <f t="shared" si="6"/>
        <v>2023</v>
      </c>
      <c r="AY7" s="21">
        <f t="shared" si="6"/>
        <v>2023</v>
      </c>
      <c r="AZ7" s="21">
        <f t="shared" si="6"/>
        <v>2022</v>
      </c>
      <c r="BA7" s="21">
        <f t="shared" si="6"/>
        <v>2022</v>
      </c>
      <c r="BB7" s="21">
        <f t="shared" si="6"/>
        <v>2023</v>
      </c>
      <c r="BC7" s="21">
        <f>IF(BC11="",BB7,BC11)</f>
        <v>2023</v>
      </c>
      <c r="BD7" s="21">
        <f t="shared" ref="BD7:BG7" si="7">IF(BD11="",BC7,BD11)</f>
        <v>2022</v>
      </c>
      <c r="BE7" s="21">
        <f t="shared" si="7"/>
        <v>2022</v>
      </c>
      <c r="BF7" s="21">
        <f t="shared" si="7"/>
        <v>2023</v>
      </c>
      <c r="BG7" s="21">
        <f t="shared" si="7"/>
        <v>2023</v>
      </c>
    </row>
    <row r="8" spans="1:62" ht="18">
      <c r="B8" s="776" t="s">
        <v>87</v>
      </c>
      <c r="C8" s="776" t="s">
        <v>23</v>
      </c>
      <c r="D8" s="831" t="s">
        <v>407</v>
      </c>
      <c r="E8" s="832"/>
      <c r="F8" s="832"/>
      <c r="G8" s="832"/>
      <c r="H8" s="832"/>
      <c r="I8" s="832"/>
      <c r="J8" s="832"/>
      <c r="K8" s="832"/>
      <c r="L8" s="832"/>
      <c r="M8" s="832"/>
      <c r="N8" s="832"/>
      <c r="O8" s="832"/>
      <c r="P8" s="832"/>
      <c r="Q8" s="832"/>
      <c r="R8" s="832"/>
      <c r="S8" s="832"/>
      <c r="T8" s="832"/>
      <c r="U8" s="832"/>
      <c r="V8" s="832"/>
      <c r="W8" s="832"/>
      <c r="X8" s="832"/>
      <c r="Y8" s="832"/>
      <c r="Z8" s="832"/>
      <c r="AA8" s="832"/>
      <c r="AB8" s="832"/>
      <c r="AC8" s="832"/>
      <c r="AD8" s="832"/>
      <c r="AE8" s="832"/>
      <c r="AF8" s="832"/>
      <c r="AG8" s="832"/>
      <c r="AH8" s="832"/>
      <c r="AI8" s="832"/>
      <c r="AJ8" s="832"/>
      <c r="AK8" s="832"/>
      <c r="AL8" s="832"/>
      <c r="AM8" s="832"/>
      <c r="AN8" s="832"/>
      <c r="AO8" s="832"/>
      <c r="AP8" s="832"/>
      <c r="AQ8" s="832"/>
      <c r="AR8" s="832"/>
      <c r="AS8" s="832"/>
      <c r="AT8" s="832"/>
      <c r="AU8" s="832"/>
      <c r="AV8" s="832"/>
      <c r="AW8" s="832"/>
      <c r="AX8" s="832"/>
      <c r="AY8" s="832"/>
      <c r="AZ8" s="832"/>
      <c r="BA8" s="832"/>
      <c r="BB8" s="832"/>
      <c r="BC8" s="832"/>
      <c r="BD8" s="832"/>
      <c r="BE8" s="832"/>
      <c r="BF8" s="832"/>
      <c r="BG8" s="832"/>
      <c r="BH8" s="832"/>
      <c r="BI8" s="853" t="s">
        <v>23</v>
      </c>
      <c r="BJ8" s="838" t="s">
        <v>87</v>
      </c>
    </row>
    <row r="9" spans="1:62" ht="18">
      <c r="B9" s="777"/>
      <c r="C9" s="777"/>
      <c r="D9" s="839" t="s">
        <v>408</v>
      </c>
      <c r="E9" s="840"/>
      <c r="F9" s="840"/>
      <c r="G9" s="840"/>
      <c r="H9" s="840"/>
      <c r="I9" s="840"/>
      <c r="J9" s="840"/>
      <c r="K9" s="840"/>
      <c r="L9" s="840"/>
      <c r="M9" s="840"/>
      <c r="N9" s="840"/>
      <c r="O9" s="840"/>
      <c r="P9" s="840"/>
      <c r="Q9" s="840"/>
      <c r="R9" s="840"/>
      <c r="S9" s="840"/>
      <c r="T9" s="840"/>
      <c r="U9" s="840"/>
      <c r="V9" s="840"/>
      <c r="W9" s="840"/>
      <c r="X9" s="840"/>
      <c r="Y9" s="840"/>
      <c r="Z9" s="840"/>
      <c r="AA9" s="840"/>
      <c r="AB9" s="840"/>
      <c r="AC9" s="840"/>
      <c r="AD9" s="840"/>
      <c r="AE9" s="841"/>
      <c r="AF9" s="839" t="s">
        <v>409</v>
      </c>
      <c r="AG9" s="840"/>
      <c r="AH9" s="840"/>
      <c r="AI9" s="840"/>
      <c r="AJ9" s="840"/>
      <c r="AK9" s="840"/>
      <c r="AL9" s="840"/>
      <c r="AM9" s="841"/>
      <c r="AN9" s="429"/>
      <c r="AO9" s="429"/>
      <c r="AP9" s="429"/>
      <c r="AQ9" s="429"/>
      <c r="AR9" s="839" t="s">
        <v>410</v>
      </c>
      <c r="AS9" s="840"/>
      <c r="AT9" s="840"/>
      <c r="AU9" s="840"/>
      <c r="AV9" s="840"/>
      <c r="AW9" s="840"/>
      <c r="AX9" s="840"/>
      <c r="AY9" s="840"/>
      <c r="AZ9" s="840"/>
      <c r="BA9" s="840"/>
      <c r="BB9" s="840"/>
      <c r="BC9" s="841"/>
      <c r="BD9" s="842" t="s">
        <v>332</v>
      </c>
      <c r="BE9" s="843"/>
      <c r="BF9" s="843"/>
      <c r="BG9" s="843"/>
      <c r="BH9" s="843"/>
      <c r="BI9" s="854"/>
      <c r="BJ9" s="838"/>
    </row>
    <row r="10" spans="1:62" ht="12.95" customHeight="1">
      <c r="B10" s="777"/>
      <c r="C10" s="777"/>
      <c r="D10" s="833" t="s">
        <v>411</v>
      </c>
      <c r="E10" s="834"/>
      <c r="F10" s="834"/>
      <c r="G10" s="835"/>
      <c r="H10" s="833" t="s">
        <v>412</v>
      </c>
      <c r="I10" s="834"/>
      <c r="J10" s="834"/>
      <c r="K10" s="835"/>
      <c r="L10" s="833" t="s">
        <v>413</v>
      </c>
      <c r="M10" s="834"/>
      <c r="N10" s="834"/>
      <c r="O10" s="835"/>
      <c r="P10" s="834" t="s">
        <v>414</v>
      </c>
      <c r="Q10" s="834"/>
      <c r="R10" s="834"/>
      <c r="S10" s="835"/>
      <c r="T10" s="833" t="s">
        <v>415</v>
      </c>
      <c r="U10" s="834"/>
      <c r="V10" s="834"/>
      <c r="W10" s="835"/>
      <c r="X10" s="833" t="s">
        <v>416</v>
      </c>
      <c r="Y10" s="834"/>
      <c r="Z10" s="834"/>
      <c r="AA10" s="834"/>
      <c r="AB10" s="849" t="s">
        <v>417</v>
      </c>
      <c r="AC10" s="850"/>
      <c r="AD10" s="850"/>
      <c r="AE10" s="851"/>
      <c r="AF10" s="834" t="s">
        <v>418</v>
      </c>
      <c r="AG10" s="834"/>
      <c r="AH10" s="834"/>
      <c r="AI10" s="835"/>
      <c r="AJ10" s="852" t="s">
        <v>419</v>
      </c>
      <c r="AK10" s="852"/>
      <c r="AL10" s="852"/>
      <c r="AM10" s="852"/>
      <c r="AN10" s="849" t="s">
        <v>417</v>
      </c>
      <c r="AO10" s="850"/>
      <c r="AP10" s="850"/>
      <c r="AQ10" s="851"/>
      <c r="AR10" s="833" t="s">
        <v>420</v>
      </c>
      <c r="AS10" s="834"/>
      <c r="AT10" s="834"/>
      <c r="AU10" s="835"/>
      <c r="AV10" s="833" t="s">
        <v>421</v>
      </c>
      <c r="AW10" s="834"/>
      <c r="AX10" s="834"/>
      <c r="AY10" s="835"/>
      <c r="AZ10" s="846" t="s">
        <v>417</v>
      </c>
      <c r="BA10" s="847"/>
      <c r="BB10" s="847"/>
      <c r="BC10" s="848"/>
      <c r="BD10" s="844"/>
      <c r="BE10" s="845"/>
      <c r="BF10" s="845"/>
      <c r="BG10" s="845"/>
      <c r="BH10" s="845"/>
      <c r="BI10" s="854"/>
      <c r="BJ10" s="838"/>
    </row>
    <row r="11" spans="1:62" ht="12.95" customHeight="1">
      <c r="B11" s="777"/>
      <c r="C11" s="777"/>
      <c r="D11" s="670">
        <v>2022</v>
      </c>
      <c r="E11" s="671"/>
      <c r="F11" s="670">
        <v>2023</v>
      </c>
      <c r="G11" s="671"/>
      <c r="H11" s="670">
        <v>2022</v>
      </c>
      <c r="I11" s="671"/>
      <c r="J11" s="670">
        <v>2023</v>
      </c>
      <c r="K11" s="671"/>
      <c r="L11" s="670">
        <v>2022</v>
      </c>
      <c r="M11" s="671"/>
      <c r="N11" s="670">
        <v>2023</v>
      </c>
      <c r="O11" s="671"/>
      <c r="P11" s="670">
        <v>2022</v>
      </c>
      <c r="Q11" s="671"/>
      <c r="R11" s="670">
        <v>2023</v>
      </c>
      <c r="S11" s="671"/>
      <c r="T11" s="670">
        <v>2022</v>
      </c>
      <c r="U11" s="671"/>
      <c r="V11" s="670">
        <v>2023</v>
      </c>
      <c r="W11" s="671"/>
      <c r="X11" s="670">
        <v>2022</v>
      </c>
      <c r="Y11" s="671"/>
      <c r="Z11" s="670">
        <v>2023</v>
      </c>
      <c r="AA11" s="671"/>
      <c r="AB11" s="670">
        <v>2022</v>
      </c>
      <c r="AC11" s="671"/>
      <c r="AD11" s="670">
        <v>2023</v>
      </c>
      <c r="AE11" s="671"/>
      <c r="AF11" s="670">
        <v>2022</v>
      </c>
      <c r="AG11" s="671"/>
      <c r="AH11" s="670">
        <v>2023</v>
      </c>
      <c r="AI11" s="671"/>
      <c r="AJ11" s="670">
        <v>2022</v>
      </c>
      <c r="AK11" s="671"/>
      <c r="AL11" s="670">
        <v>2023</v>
      </c>
      <c r="AM11" s="671"/>
      <c r="AN11" s="670">
        <v>2022</v>
      </c>
      <c r="AO11" s="671"/>
      <c r="AP11" s="670">
        <v>2023</v>
      </c>
      <c r="AQ11" s="671"/>
      <c r="AR11" s="670">
        <v>2022</v>
      </c>
      <c r="AS11" s="671"/>
      <c r="AT11" s="670">
        <v>2023</v>
      </c>
      <c r="AU11" s="671"/>
      <c r="AV11" s="670">
        <v>2022</v>
      </c>
      <c r="AW11" s="671"/>
      <c r="AX11" s="670">
        <v>2023</v>
      </c>
      <c r="AY11" s="671"/>
      <c r="AZ11" s="670">
        <v>2022</v>
      </c>
      <c r="BA11" s="671"/>
      <c r="BB11" s="670">
        <v>2023</v>
      </c>
      <c r="BC11" s="671"/>
      <c r="BD11" s="670">
        <v>2022</v>
      </c>
      <c r="BE11" s="671"/>
      <c r="BF11" s="670">
        <v>2023</v>
      </c>
      <c r="BG11" s="772"/>
      <c r="BH11" s="754" t="s">
        <v>336</v>
      </c>
      <c r="BI11" s="854"/>
      <c r="BJ11" s="838"/>
    </row>
    <row r="12" spans="1:62">
      <c r="B12" s="777"/>
      <c r="C12" s="777"/>
      <c r="D12" s="298" t="s">
        <v>337</v>
      </c>
      <c r="E12" s="380" t="s">
        <v>241</v>
      </c>
      <c r="F12" s="298" t="s">
        <v>337</v>
      </c>
      <c r="G12" s="380" t="s">
        <v>241</v>
      </c>
      <c r="H12" s="298" t="s">
        <v>660</v>
      </c>
      <c r="I12" s="380" t="s">
        <v>241</v>
      </c>
      <c r="J12" s="298" t="s">
        <v>660</v>
      </c>
      <c r="K12" s="380" t="s">
        <v>241</v>
      </c>
      <c r="L12" s="298" t="s">
        <v>337</v>
      </c>
      <c r="M12" s="380" t="s">
        <v>241</v>
      </c>
      <c r="N12" s="298" t="s">
        <v>337</v>
      </c>
      <c r="O12" s="380" t="s">
        <v>241</v>
      </c>
      <c r="P12" s="298" t="s">
        <v>337</v>
      </c>
      <c r="Q12" s="380" t="s">
        <v>241</v>
      </c>
      <c r="R12" s="298" t="s">
        <v>337</v>
      </c>
      <c r="S12" s="380" t="s">
        <v>241</v>
      </c>
      <c r="T12" s="298" t="s">
        <v>337</v>
      </c>
      <c r="U12" s="380" t="s">
        <v>241</v>
      </c>
      <c r="V12" s="298" t="s">
        <v>337</v>
      </c>
      <c r="W12" s="401" t="s">
        <v>241</v>
      </c>
      <c r="X12" s="298" t="s">
        <v>337</v>
      </c>
      <c r="Y12" s="380" t="s">
        <v>241</v>
      </c>
      <c r="Z12" s="298" t="s">
        <v>337</v>
      </c>
      <c r="AA12" s="380" t="s">
        <v>241</v>
      </c>
      <c r="AB12" s="298" t="s">
        <v>337</v>
      </c>
      <c r="AC12" s="380" t="s">
        <v>241</v>
      </c>
      <c r="AD12" s="298" t="s">
        <v>337</v>
      </c>
      <c r="AE12" s="380" t="s">
        <v>241</v>
      </c>
      <c r="AF12" s="298" t="s">
        <v>337</v>
      </c>
      <c r="AG12" s="380" t="s">
        <v>241</v>
      </c>
      <c r="AH12" s="298" t="s">
        <v>337</v>
      </c>
      <c r="AI12" s="380" t="s">
        <v>241</v>
      </c>
      <c r="AJ12" s="298" t="s">
        <v>337</v>
      </c>
      <c r="AK12" s="380" t="s">
        <v>241</v>
      </c>
      <c r="AL12" s="298" t="s">
        <v>337</v>
      </c>
      <c r="AM12" s="380" t="s">
        <v>241</v>
      </c>
      <c r="AN12" s="298" t="s">
        <v>337</v>
      </c>
      <c r="AO12" s="380" t="s">
        <v>241</v>
      </c>
      <c r="AP12" s="298" t="s">
        <v>337</v>
      </c>
      <c r="AQ12" s="380" t="s">
        <v>241</v>
      </c>
      <c r="AR12" s="298" t="s">
        <v>337</v>
      </c>
      <c r="AS12" s="380" t="s">
        <v>241</v>
      </c>
      <c r="AT12" s="298" t="s">
        <v>337</v>
      </c>
      <c r="AU12" s="380" t="s">
        <v>241</v>
      </c>
      <c r="AV12" s="298" t="s">
        <v>337</v>
      </c>
      <c r="AW12" s="380" t="s">
        <v>241</v>
      </c>
      <c r="AX12" s="298" t="s">
        <v>337</v>
      </c>
      <c r="AY12" s="380" t="s">
        <v>241</v>
      </c>
      <c r="AZ12" s="298" t="s">
        <v>337</v>
      </c>
      <c r="BA12" s="380" t="s">
        <v>241</v>
      </c>
      <c r="BB12" s="298" t="s">
        <v>337</v>
      </c>
      <c r="BC12" s="380" t="s">
        <v>241</v>
      </c>
      <c r="BD12" s="299" t="s">
        <v>337</v>
      </c>
      <c r="BE12" s="300" t="s">
        <v>241</v>
      </c>
      <c r="BF12" s="299" t="s">
        <v>337</v>
      </c>
      <c r="BG12" s="300" t="s">
        <v>241</v>
      </c>
      <c r="BH12" s="836"/>
      <c r="BI12" s="855"/>
      <c r="BJ12" s="838"/>
    </row>
    <row r="13" spans="1:62" ht="12.95" customHeight="1">
      <c r="B13" s="301" t="s">
        <v>5</v>
      </c>
      <c r="C13" s="302" t="s">
        <v>338</v>
      </c>
      <c r="D13" s="381">
        <v>42.04</v>
      </c>
      <c r="E13" s="304">
        <f>RANK(D13,$D$13:$D$42,0)</f>
        <v>29</v>
      </c>
      <c r="F13" s="309">
        <v>60.39</v>
      </c>
      <c r="G13" s="313">
        <f>RANK(F13,$F$13:$F$42,0)</f>
        <v>27</v>
      </c>
      <c r="H13" s="402">
        <v>795.34984553682727</v>
      </c>
      <c r="I13" s="403">
        <f>RANK(H13,$H$13:$H$42,1)</f>
        <v>27</v>
      </c>
      <c r="J13" s="306">
        <v>474.77</v>
      </c>
      <c r="K13" s="313">
        <f>RANK(J13,$J$13:$J$42,1)</f>
        <v>20</v>
      </c>
      <c r="L13" s="303">
        <v>3540.9</v>
      </c>
      <c r="M13" s="404">
        <f>RANK(L13,$L$13:$L$42,0)</f>
        <v>5</v>
      </c>
      <c r="N13" s="306">
        <v>3552.2</v>
      </c>
      <c r="O13" s="313">
        <f>RANK(N13,$N$13:$N$42,0)</f>
        <v>7</v>
      </c>
      <c r="P13" s="336">
        <v>63.5</v>
      </c>
      <c r="Q13" s="304">
        <f>RANK(P13,$P$13:$P$42,0)</f>
        <v>12</v>
      </c>
      <c r="R13" s="405">
        <v>63.5</v>
      </c>
      <c r="S13" s="406">
        <f>RANK(R13,$R$13:$R$42,0)</f>
        <v>12</v>
      </c>
      <c r="T13" s="381">
        <v>64.5</v>
      </c>
      <c r="U13" s="304">
        <f>RANK(T13,$T$13:$T$42,0)</f>
        <v>4</v>
      </c>
      <c r="V13" s="309">
        <v>64.5</v>
      </c>
      <c r="W13" s="312">
        <f>RANK(V13,$V$13:$V$42,0)</f>
        <v>4</v>
      </c>
      <c r="X13" s="336">
        <v>1</v>
      </c>
      <c r="Y13" s="304">
        <f>RANK(X13,$X$13:$X$42,1)</f>
        <v>2</v>
      </c>
      <c r="Z13" s="407">
        <v>1.1200000000000001</v>
      </c>
      <c r="AA13" s="406">
        <f>RANK(Z13,$Z$13:$Z$42,1)</f>
        <v>3</v>
      </c>
      <c r="AB13" s="381">
        <f>AVERAGE(E13,M13,Q13,I13,U13,Y13)</f>
        <v>13.166666666666666</v>
      </c>
      <c r="AC13" s="404">
        <f t="shared" ref="AC13:AC42" si="8">RANK(AB13,$AB$13:$AB$42,1)</f>
        <v>12</v>
      </c>
      <c r="AD13" s="309">
        <f>AVERAGE(G13,K13,S13,W13,O13,AA13)</f>
        <v>12.166666666666666</v>
      </c>
      <c r="AE13" s="313">
        <f>RANK(AD13,$AD$13:$AD$42,1)</f>
        <v>9</v>
      </c>
      <c r="AF13" s="381">
        <v>0.75</v>
      </c>
      <c r="AG13" s="404">
        <f>RANK(AF13,$AF$13:$AF$42,0)</f>
        <v>7</v>
      </c>
      <c r="AH13" s="309">
        <v>0.73</v>
      </c>
      <c r="AI13" s="313">
        <f>RANK(AH13,$AH$13:$AH$42,0)</f>
        <v>8</v>
      </c>
      <c r="AJ13" s="381">
        <v>0.12</v>
      </c>
      <c r="AK13" s="304">
        <f>RANK(AJ13,$AJ$13:$AJ$42,1)</f>
        <v>12</v>
      </c>
      <c r="AL13" s="309">
        <v>0.68</v>
      </c>
      <c r="AM13" s="313">
        <f>RANK(AL13,$AL$13:$AL$42,0)</f>
        <v>22</v>
      </c>
      <c r="AN13" s="381">
        <f>AVERAGE(AG13,AK13)</f>
        <v>9.5</v>
      </c>
      <c r="AO13" s="304">
        <f>RANK(AN13,$AN$13:$AN$42,1)</f>
        <v>9</v>
      </c>
      <c r="AP13" s="309">
        <f>AVERAGE(AI13,AM13)</f>
        <v>15</v>
      </c>
      <c r="AQ13" s="312">
        <f>RANK(AP13,$AP$13:$AP$42,1)</f>
        <v>13</v>
      </c>
      <c r="AR13" s="381">
        <v>1.1100000000000001</v>
      </c>
      <c r="AS13" s="304">
        <f>RANK(AR13,$AR$13:$AR$42,0)</f>
        <v>12</v>
      </c>
      <c r="AT13" s="309">
        <v>1.0900000000000001</v>
      </c>
      <c r="AU13" s="312">
        <f>RANK(AT13,$AT$13:$AT$42,0)</f>
        <v>12</v>
      </c>
      <c r="AV13" s="381">
        <v>0.64</v>
      </c>
      <c r="AW13" s="304">
        <f>RANK(AV13,$AV$13:$AV$42,0)</f>
        <v>13</v>
      </c>
      <c r="AX13" s="309">
        <v>0.66</v>
      </c>
      <c r="AY13" s="312">
        <f>RANK(AX13,$AX$13:$AX$42,0)</f>
        <v>13</v>
      </c>
      <c r="AZ13" s="381">
        <f>AVERAGE(AS13,AW13)</f>
        <v>12.5</v>
      </c>
      <c r="BA13" s="304">
        <f>RANK(AZ13,$AZ$13:$AZ$42,1)</f>
        <v>12</v>
      </c>
      <c r="BB13" s="309">
        <f>AVERAGE(AU13,AY13)</f>
        <v>12.5</v>
      </c>
      <c r="BC13" s="313">
        <f>RANK(BB13,$BB$13:$BB$42,1)</f>
        <v>13</v>
      </c>
      <c r="BD13" s="381" cm="1">
        <f t="array" aca="1" ref="BD13" ca="1">SUMPRODUCT(--($D$7:$BC$7=BD$7),$D$3:$BC$3,$D13:$BC13)</f>
        <v>11.722222222222221</v>
      </c>
      <c r="BE13" s="304">
        <f ca="1">RANK(BD13,$BD$13:$BD$42,1)</f>
        <v>11</v>
      </c>
      <c r="BF13" s="309" cm="1">
        <f t="array" aca="1" ref="BF13" ca="1">ROUNDUP(SUMPRODUCT(--($D$7:$BC$7=BF$7),$D$3:$BC$3,$D13:$BC13),3)</f>
        <v>13.222999999999999</v>
      </c>
      <c r="BG13" s="313">
        <f ca="1">RANK(BF13,$BF$13:$BF$42,1)</f>
        <v>12</v>
      </c>
      <c r="BH13" s="448">
        <f ca="1">BE13-BG13</f>
        <v>-1</v>
      </c>
      <c r="BI13" s="302" t="s">
        <v>338</v>
      </c>
      <c r="BJ13" s="314" t="s">
        <v>5</v>
      </c>
    </row>
    <row r="14" spans="1:62" ht="12.95" customHeight="1">
      <c r="B14" s="315" t="s">
        <v>5</v>
      </c>
      <c r="C14" s="316" t="s">
        <v>83</v>
      </c>
      <c r="D14" s="384">
        <v>54.85</v>
      </c>
      <c r="E14" s="305">
        <f t="shared" ref="E14:E41" si="9">RANK(D14,$D$13:$D$42,0)</f>
        <v>26</v>
      </c>
      <c r="F14" s="319">
        <v>61.63</v>
      </c>
      <c r="G14" s="321">
        <f t="shared" ref="G14:G41" si="10">RANK(F14,$F$13:$F$42,0)</f>
        <v>26</v>
      </c>
      <c r="H14" s="408">
        <v>300.95376611752857</v>
      </c>
      <c r="I14" s="409">
        <f t="shared" ref="I14:I42" si="11">RANK(H14,$H$13:$H$42,1)</f>
        <v>6</v>
      </c>
      <c r="J14" s="318">
        <v>44.73</v>
      </c>
      <c r="K14" s="321">
        <f t="shared" ref="K14:K42" si="12">RANK(J14,$J$13:$J$42,1)</f>
        <v>4</v>
      </c>
      <c r="L14" s="317">
        <v>6132.9</v>
      </c>
      <c r="M14" s="410">
        <f t="shared" ref="M14:M42" si="13">RANK(L14,$L$13:$L$42,0)</f>
        <v>3</v>
      </c>
      <c r="N14" s="318">
        <v>5162.4799999999996</v>
      </c>
      <c r="O14" s="321">
        <f t="shared" ref="O14:O42" si="14">RANK(N14,$N$13:$N$42,0)</f>
        <v>4</v>
      </c>
      <c r="P14" s="311">
        <v>93.4</v>
      </c>
      <c r="Q14" s="305">
        <f t="shared" ref="Q14:Q42" si="15">RANK(P14,$P$13:$P$42,0)</f>
        <v>1</v>
      </c>
      <c r="R14" s="411">
        <v>93.4</v>
      </c>
      <c r="S14" s="412">
        <f t="shared" ref="S14:S42" si="16">RANK(R14,$R$13:$R$42,0)</f>
        <v>1</v>
      </c>
      <c r="T14" s="384">
        <v>62</v>
      </c>
      <c r="U14" s="305">
        <f t="shared" ref="U14:U42" si="17">RANK(T14,$T$13:$T$42,0)</f>
        <v>8</v>
      </c>
      <c r="V14" s="319">
        <v>62</v>
      </c>
      <c r="W14" s="307">
        <f t="shared" ref="W14:W42" si="18">RANK(V14,$V$13:$V$42,0)</f>
        <v>8</v>
      </c>
      <c r="X14" s="311">
        <v>1.3</v>
      </c>
      <c r="Y14" s="305">
        <f t="shared" ref="Y14:Y42" si="19">RANK(X14,$X$13:$X$42,1)</f>
        <v>4</v>
      </c>
      <c r="Z14" s="413">
        <v>1.43</v>
      </c>
      <c r="AA14" s="412">
        <f t="shared" ref="AA14:AA42" si="20">RANK(Z14,$Z$13:$Z$42,1)</f>
        <v>4</v>
      </c>
      <c r="AB14" s="384">
        <f t="shared" ref="AB14:AB15" si="21">AVERAGE(E14,M14,Q14,I14,U14,Y14)</f>
        <v>8</v>
      </c>
      <c r="AC14" s="410">
        <f t="shared" si="8"/>
        <v>5</v>
      </c>
      <c r="AD14" s="319">
        <f t="shared" ref="AD14:AD42" si="22">AVERAGE(G14,K14,S14,W14,O14,AA14)</f>
        <v>7.833333333333333</v>
      </c>
      <c r="AE14" s="321">
        <f t="shared" ref="AE14:AE42" si="23">RANK(AD14,$AD$13:$AD$42,1)</f>
        <v>5</v>
      </c>
      <c r="AF14" s="384">
        <v>0.86</v>
      </c>
      <c r="AG14" s="410">
        <f t="shared" ref="AG14:AG42" si="24">RANK(AF14,$AF$13:$AF$42,0)</f>
        <v>2</v>
      </c>
      <c r="AH14" s="319">
        <v>0.85</v>
      </c>
      <c r="AI14" s="321">
        <f t="shared" ref="AI14:AI42" si="25">RANK(AH14,$AH$13:$AH$42,0)</f>
        <v>2</v>
      </c>
      <c r="AJ14" s="384">
        <v>3.3000000000000002E-2</v>
      </c>
      <c r="AK14" s="305">
        <f t="shared" ref="AK14:AK42" si="26">RANK(AJ14,$AJ$13:$AJ$42,1)</f>
        <v>3</v>
      </c>
      <c r="AL14" s="319">
        <v>0.86</v>
      </c>
      <c r="AM14" s="321">
        <f t="shared" ref="AM14:AM42" si="27">RANK(AL14,$AL$13:$AL$42,0)</f>
        <v>5</v>
      </c>
      <c r="AN14" s="384">
        <f t="shared" ref="AN14:AN17" si="28">AVERAGE(AG14,AK14)</f>
        <v>2.5</v>
      </c>
      <c r="AO14" s="305">
        <f t="shared" ref="AO14:AO42" si="29">RANK(AN14,$AN$13:$AN$42,1)</f>
        <v>2</v>
      </c>
      <c r="AP14" s="319">
        <f t="shared" ref="AP14:AP42" si="30">AVERAGE(AI14,AM14)</f>
        <v>3.5</v>
      </c>
      <c r="AQ14" s="307">
        <f t="shared" ref="AQ14:AQ42" si="31">RANK(AP14,$AP$13:$AP$42,1)</f>
        <v>3</v>
      </c>
      <c r="AR14" s="384">
        <v>1.96</v>
      </c>
      <c r="AS14" s="305">
        <f t="shared" ref="AS14:AS42" si="32">RANK(AR14,$AR$13:$AR$42,0)</f>
        <v>1</v>
      </c>
      <c r="AT14" s="319">
        <v>1.76</v>
      </c>
      <c r="AU14" s="307">
        <f t="shared" ref="AU14:AU42" si="33">RANK(AT14,$AT$13:$AT$42,0)</f>
        <v>2</v>
      </c>
      <c r="AV14" s="384">
        <v>2.27</v>
      </c>
      <c r="AW14" s="305">
        <f t="shared" ref="AW14:AW42" si="34">RANK(AV14,$AV$13:$AV$42,0)</f>
        <v>1</v>
      </c>
      <c r="AX14" s="319">
        <v>2.25</v>
      </c>
      <c r="AY14" s="307">
        <f t="shared" ref="AY14:AY42" si="35">RANK(AX14,$AX$13:$AX$42,0)</f>
        <v>1</v>
      </c>
      <c r="AZ14" s="384">
        <f t="shared" ref="AZ14:AZ42" si="36">AVERAGE(AS14,AW14)</f>
        <v>1</v>
      </c>
      <c r="BA14" s="305">
        <f t="shared" ref="BA14:BA42" si="37">RANK(AZ14,$AZ$13:$AZ$42,1)</f>
        <v>1</v>
      </c>
      <c r="BB14" s="319">
        <f t="shared" ref="BB14:BB42" si="38">AVERAGE(AU14,AY14)</f>
        <v>1.5</v>
      </c>
      <c r="BC14" s="321">
        <f t="shared" ref="BC14:BC42" si="39">RANK(BB14,$BB$13:$BB$42,1)</f>
        <v>1</v>
      </c>
      <c r="BD14" s="384" cm="1">
        <f t="array" aca="1" ref="BD14" ca="1">SUMPRODUCT(--($D$7:$BC$7=BD$7),$D$3:$BC$3,$D14:$BC14)</f>
        <v>3.8333333333333335</v>
      </c>
      <c r="BE14" s="305">
        <f t="shared" ref="BE14:BE42" ca="1" si="40">RANK(BD14,$BD$13:$BD$42,1)</f>
        <v>2</v>
      </c>
      <c r="BF14" s="319" cm="1">
        <f t="array" aca="1" ref="BF14" ca="1">ROUNDUP(SUMPRODUCT(--($D$7:$BC$7=BF$7),$D$3:$BC$3,$D14:$BC14),3)</f>
        <v>4.2780000000000005</v>
      </c>
      <c r="BG14" s="321">
        <f t="shared" ref="BG14:BG42" ca="1" si="41">RANK(BF14,$BF$13:$BF$42,1)</f>
        <v>2</v>
      </c>
      <c r="BH14" s="451">
        <f t="shared" ref="BH14:BH42" ca="1" si="42">BE14-BG14</f>
        <v>0</v>
      </c>
      <c r="BI14" s="316" t="s">
        <v>83</v>
      </c>
      <c r="BJ14" s="322" t="s">
        <v>5</v>
      </c>
    </row>
    <row r="15" spans="1:62" s="445" customFormat="1" ht="12.95" customHeight="1">
      <c r="B15" s="315" t="s">
        <v>5</v>
      </c>
      <c r="C15" s="316" t="s">
        <v>26</v>
      </c>
      <c r="D15" s="384">
        <v>96.96</v>
      </c>
      <c r="E15" s="305">
        <f t="shared" si="9"/>
        <v>12</v>
      </c>
      <c r="F15" s="319">
        <v>120.13</v>
      </c>
      <c r="G15" s="321">
        <f t="shared" si="10"/>
        <v>9</v>
      </c>
      <c r="H15" s="408">
        <v>115.52491774156607</v>
      </c>
      <c r="I15" s="409">
        <f>RANK(H15,$H$13:$H$42,1)</f>
        <v>4</v>
      </c>
      <c r="J15" s="318">
        <v>66.510000000000005</v>
      </c>
      <c r="K15" s="321">
        <f t="shared" si="12"/>
        <v>6</v>
      </c>
      <c r="L15" s="317">
        <v>4569.8999999999996</v>
      </c>
      <c r="M15" s="410">
        <f t="shared" si="13"/>
        <v>4</v>
      </c>
      <c r="N15" s="318">
        <v>5389.7</v>
      </c>
      <c r="O15" s="321">
        <f t="shared" si="14"/>
        <v>3</v>
      </c>
      <c r="P15" s="311">
        <v>83.9</v>
      </c>
      <c r="Q15" s="305">
        <f t="shared" si="15"/>
        <v>6</v>
      </c>
      <c r="R15" s="411">
        <v>83.9</v>
      </c>
      <c r="S15" s="412">
        <f t="shared" si="16"/>
        <v>6</v>
      </c>
      <c r="T15" s="384">
        <v>64</v>
      </c>
      <c r="U15" s="305">
        <f t="shared" si="17"/>
        <v>5</v>
      </c>
      <c r="V15" s="319">
        <v>64</v>
      </c>
      <c r="W15" s="307">
        <f t="shared" si="18"/>
        <v>5</v>
      </c>
      <c r="X15" s="311">
        <v>6.67</v>
      </c>
      <c r="Y15" s="305">
        <f t="shared" si="19"/>
        <v>10</v>
      </c>
      <c r="Z15" s="413">
        <v>7.39</v>
      </c>
      <c r="AA15" s="412">
        <f t="shared" si="20"/>
        <v>11</v>
      </c>
      <c r="AB15" s="384">
        <f t="shared" si="21"/>
        <v>6.833333333333333</v>
      </c>
      <c r="AC15" s="410">
        <f t="shared" si="8"/>
        <v>1</v>
      </c>
      <c r="AD15" s="319">
        <f t="shared" si="22"/>
        <v>6.666666666666667</v>
      </c>
      <c r="AE15" s="321">
        <f t="shared" si="23"/>
        <v>2</v>
      </c>
      <c r="AF15" s="384">
        <v>0.78</v>
      </c>
      <c r="AG15" s="410">
        <f t="shared" si="24"/>
        <v>4</v>
      </c>
      <c r="AH15" s="319">
        <v>0.78</v>
      </c>
      <c r="AI15" s="321">
        <f t="shared" si="25"/>
        <v>5</v>
      </c>
      <c r="AJ15" s="384">
        <v>8.3000000000000004E-2</v>
      </c>
      <c r="AK15" s="305">
        <f t="shared" si="26"/>
        <v>8</v>
      </c>
      <c r="AL15" s="319">
        <v>0.86099999999999999</v>
      </c>
      <c r="AM15" s="321">
        <f t="shared" si="27"/>
        <v>4</v>
      </c>
      <c r="AN15" s="384">
        <f t="shared" si="28"/>
        <v>6</v>
      </c>
      <c r="AO15" s="305">
        <f t="shared" si="29"/>
        <v>5</v>
      </c>
      <c r="AP15" s="319">
        <f t="shared" si="30"/>
        <v>4.5</v>
      </c>
      <c r="AQ15" s="307">
        <f t="shared" si="31"/>
        <v>4</v>
      </c>
      <c r="AR15" s="384">
        <v>1.27</v>
      </c>
      <c r="AS15" s="305">
        <f t="shared" si="32"/>
        <v>11</v>
      </c>
      <c r="AT15" s="319">
        <v>1.17</v>
      </c>
      <c r="AU15" s="307">
        <f t="shared" si="33"/>
        <v>11</v>
      </c>
      <c r="AV15" s="384">
        <v>1.31</v>
      </c>
      <c r="AW15" s="305">
        <f t="shared" si="34"/>
        <v>9</v>
      </c>
      <c r="AX15" s="319">
        <v>1.26</v>
      </c>
      <c r="AY15" s="307">
        <f t="shared" si="35"/>
        <v>9</v>
      </c>
      <c r="AZ15" s="384">
        <f t="shared" si="36"/>
        <v>10</v>
      </c>
      <c r="BA15" s="305">
        <f t="shared" si="37"/>
        <v>11</v>
      </c>
      <c r="BB15" s="319">
        <f t="shared" si="38"/>
        <v>10</v>
      </c>
      <c r="BC15" s="321">
        <f t="shared" si="39"/>
        <v>11</v>
      </c>
      <c r="BD15" s="384" cm="1">
        <f t="array" aca="1" ref="BD15" ca="1">SUMPRODUCT(--($D$7:$BC$7=BD$7),$D$3:$BC$3,$D15:$BC15)</f>
        <v>7.6111111111111107</v>
      </c>
      <c r="BE15" s="305">
        <f t="shared" ca="1" si="40"/>
        <v>5</v>
      </c>
      <c r="BF15" s="319" cm="1">
        <f t="array" aca="1" ref="BF15" ca="1">ROUNDUP(SUMPRODUCT(--($D$7:$BC$7=BF$7),$D$3:$BC$3,$D15:$BC15),3)</f>
        <v>7.056</v>
      </c>
      <c r="BG15" s="321">
        <f t="shared" ca="1" si="41"/>
        <v>5</v>
      </c>
      <c r="BH15" s="451">
        <f t="shared" ca="1" si="42"/>
        <v>0</v>
      </c>
      <c r="BI15" s="316" t="s">
        <v>26</v>
      </c>
      <c r="BJ15" s="322" t="s">
        <v>5</v>
      </c>
    </row>
    <row r="16" spans="1:62" s="445" customFormat="1" ht="12.95" customHeight="1">
      <c r="B16" s="315" t="s">
        <v>5</v>
      </c>
      <c r="C16" s="316" t="s">
        <v>25</v>
      </c>
      <c r="D16" s="384">
        <v>106.51</v>
      </c>
      <c r="E16" s="305">
        <f t="shared" si="9"/>
        <v>4</v>
      </c>
      <c r="F16" s="319">
        <v>145.93</v>
      </c>
      <c r="G16" s="321">
        <f t="shared" si="10"/>
        <v>1</v>
      </c>
      <c r="H16" s="408">
        <v>538.23897173908153</v>
      </c>
      <c r="I16" s="409">
        <f t="shared" si="11"/>
        <v>16</v>
      </c>
      <c r="J16" s="318">
        <v>391.15</v>
      </c>
      <c r="K16" s="321">
        <f t="shared" si="12"/>
        <v>14</v>
      </c>
      <c r="L16" s="317">
        <v>3540.9</v>
      </c>
      <c r="M16" s="410">
        <f t="shared" si="13"/>
        <v>5</v>
      </c>
      <c r="N16" s="318">
        <v>4872.2</v>
      </c>
      <c r="O16" s="321">
        <f t="shared" si="14"/>
        <v>5</v>
      </c>
      <c r="P16" s="311">
        <v>82</v>
      </c>
      <c r="Q16" s="305">
        <f t="shared" si="15"/>
        <v>9</v>
      </c>
      <c r="R16" s="411">
        <v>82</v>
      </c>
      <c r="S16" s="412">
        <f t="shared" si="16"/>
        <v>9</v>
      </c>
      <c r="T16" s="384">
        <v>66.8</v>
      </c>
      <c r="U16" s="305">
        <f t="shared" si="17"/>
        <v>1</v>
      </c>
      <c r="V16" s="319">
        <v>66.8</v>
      </c>
      <c r="W16" s="307">
        <f t="shared" si="18"/>
        <v>1</v>
      </c>
      <c r="X16" s="311">
        <v>3.92</v>
      </c>
      <c r="Y16" s="305">
        <f t="shared" si="19"/>
        <v>7</v>
      </c>
      <c r="Z16" s="413">
        <v>4.3</v>
      </c>
      <c r="AA16" s="412">
        <f t="shared" si="20"/>
        <v>9</v>
      </c>
      <c r="AB16" s="384">
        <f>AVERAGE(E16,M16,Q16,I16,U16,Y16)</f>
        <v>7</v>
      </c>
      <c r="AC16" s="410">
        <f t="shared" si="8"/>
        <v>2</v>
      </c>
      <c r="AD16" s="319">
        <f t="shared" si="22"/>
        <v>6.5</v>
      </c>
      <c r="AE16" s="321">
        <f t="shared" si="23"/>
        <v>1</v>
      </c>
      <c r="AF16" s="384">
        <v>0.84</v>
      </c>
      <c r="AG16" s="410">
        <f t="shared" si="24"/>
        <v>3</v>
      </c>
      <c r="AH16" s="319">
        <v>0.85</v>
      </c>
      <c r="AI16" s="321">
        <f t="shared" si="25"/>
        <v>2</v>
      </c>
      <c r="AJ16" s="384">
        <v>7.2999999999999995E-2</v>
      </c>
      <c r="AK16" s="305">
        <f t="shared" si="26"/>
        <v>6</v>
      </c>
      <c r="AL16" s="319">
        <v>0.78</v>
      </c>
      <c r="AM16" s="321">
        <f t="shared" si="27"/>
        <v>13</v>
      </c>
      <c r="AN16" s="384">
        <f t="shared" si="28"/>
        <v>4.5</v>
      </c>
      <c r="AO16" s="305">
        <f t="shared" si="29"/>
        <v>4</v>
      </c>
      <c r="AP16" s="319">
        <f t="shared" si="30"/>
        <v>7.5</v>
      </c>
      <c r="AQ16" s="307">
        <f t="shared" si="31"/>
        <v>6</v>
      </c>
      <c r="AR16" s="384">
        <v>1.33</v>
      </c>
      <c r="AS16" s="305">
        <f t="shared" si="32"/>
        <v>9</v>
      </c>
      <c r="AT16" s="319">
        <v>1.29</v>
      </c>
      <c r="AU16" s="307">
        <f t="shared" si="33"/>
        <v>8</v>
      </c>
      <c r="AV16" s="384">
        <v>1.81</v>
      </c>
      <c r="AW16" s="305">
        <f t="shared" si="34"/>
        <v>4</v>
      </c>
      <c r="AX16" s="319">
        <v>1.82</v>
      </c>
      <c r="AY16" s="307">
        <f t="shared" si="35"/>
        <v>4</v>
      </c>
      <c r="AZ16" s="384">
        <f t="shared" si="36"/>
        <v>6.5</v>
      </c>
      <c r="BA16" s="305">
        <f t="shared" si="37"/>
        <v>6</v>
      </c>
      <c r="BB16" s="319">
        <f t="shared" si="38"/>
        <v>6</v>
      </c>
      <c r="BC16" s="321">
        <f t="shared" si="39"/>
        <v>7</v>
      </c>
      <c r="BD16" s="384" cm="1">
        <f t="array" aca="1" ref="BD16" ca="1">SUMPRODUCT(--($D$7:$BC$7=BD$7),$D$3:$BC$3,$D16:$BC16)</f>
        <v>6</v>
      </c>
      <c r="BE16" s="305">
        <f t="shared" ca="1" si="40"/>
        <v>4</v>
      </c>
      <c r="BF16" s="319" cm="1">
        <f t="array" aca="1" ref="BF16" ca="1">ROUNDUP(SUMPRODUCT(--($D$7:$BC$7=BF$7),$D$3:$BC$3,$D16:$BC16),3)</f>
        <v>6.6670000000000007</v>
      </c>
      <c r="BG16" s="321">
        <f t="shared" ca="1" si="41"/>
        <v>4</v>
      </c>
      <c r="BH16" s="451">
        <f t="shared" ca="1" si="42"/>
        <v>0</v>
      </c>
      <c r="BI16" s="316" t="s">
        <v>25</v>
      </c>
      <c r="BJ16" s="322" t="s">
        <v>5</v>
      </c>
    </row>
    <row r="17" spans="2:62" s="445" customFormat="1" ht="12.95" customHeight="1">
      <c r="B17" s="315" t="s">
        <v>5</v>
      </c>
      <c r="C17" s="316" t="s">
        <v>55</v>
      </c>
      <c r="D17" s="384">
        <v>97.81</v>
      </c>
      <c r="E17" s="305">
        <f t="shared" si="9"/>
        <v>10</v>
      </c>
      <c r="F17" s="319">
        <v>135.31</v>
      </c>
      <c r="G17" s="321">
        <f t="shared" si="10"/>
        <v>3</v>
      </c>
      <c r="H17" s="408">
        <v>408.34897344025478</v>
      </c>
      <c r="I17" s="409">
        <f t="shared" si="11"/>
        <v>10</v>
      </c>
      <c r="J17" s="318">
        <v>210.87</v>
      </c>
      <c r="K17" s="321">
        <f t="shared" si="12"/>
        <v>9</v>
      </c>
      <c r="L17" s="317">
        <v>3540.9</v>
      </c>
      <c r="M17" s="410">
        <f t="shared" si="13"/>
        <v>5</v>
      </c>
      <c r="N17" s="318">
        <v>3552.2</v>
      </c>
      <c r="O17" s="321">
        <f t="shared" si="14"/>
        <v>7</v>
      </c>
      <c r="P17" s="311">
        <v>47.6</v>
      </c>
      <c r="Q17" s="305">
        <f t="shared" si="15"/>
        <v>18</v>
      </c>
      <c r="R17" s="411">
        <v>47.6</v>
      </c>
      <c r="S17" s="412">
        <f t="shared" si="16"/>
        <v>18</v>
      </c>
      <c r="T17" s="384">
        <v>65</v>
      </c>
      <c r="U17" s="305">
        <f t="shared" si="17"/>
        <v>3</v>
      </c>
      <c r="V17" s="319">
        <v>65</v>
      </c>
      <c r="W17" s="307">
        <f t="shared" si="18"/>
        <v>3</v>
      </c>
      <c r="X17" s="311">
        <v>0.97</v>
      </c>
      <c r="Y17" s="305">
        <f t="shared" si="19"/>
        <v>1</v>
      </c>
      <c r="Z17" s="413">
        <v>0.94</v>
      </c>
      <c r="AA17" s="412">
        <f t="shared" si="20"/>
        <v>1</v>
      </c>
      <c r="AB17" s="384">
        <f t="shared" ref="AB17:AB42" si="43">AVERAGE(E17,M17,Q17,I17,U17,Y17)</f>
        <v>7.833333333333333</v>
      </c>
      <c r="AC17" s="410">
        <f t="shared" si="8"/>
        <v>3</v>
      </c>
      <c r="AD17" s="319">
        <f t="shared" si="22"/>
        <v>6.833333333333333</v>
      </c>
      <c r="AE17" s="321">
        <f t="shared" si="23"/>
        <v>3</v>
      </c>
      <c r="AF17" s="384">
        <v>0.66</v>
      </c>
      <c r="AG17" s="410">
        <f t="shared" si="24"/>
        <v>13</v>
      </c>
      <c r="AH17" s="319">
        <v>0.67</v>
      </c>
      <c r="AI17" s="321">
        <f t="shared" si="25"/>
        <v>13</v>
      </c>
      <c r="AJ17" s="384">
        <v>0.221</v>
      </c>
      <c r="AK17" s="305">
        <f t="shared" si="26"/>
        <v>17</v>
      </c>
      <c r="AL17" s="319">
        <v>0.71799999999999997</v>
      </c>
      <c r="AM17" s="321">
        <f t="shared" si="27"/>
        <v>20</v>
      </c>
      <c r="AN17" s="384">
        <f t="shared" si="28"/>
        <v>15</v>
      </c>
      <c r="AO17" s="305">
        <f t="shared" si="29"/>
        <v>15</v>
      </c>
      <c r="AP17" s="319">
        <f t="shared" si="30"/>
        <v>16.5</v>
      </c>
      <c r="AQ17" s="307">
        <f t="shared" si="31"/>
        <v>16</v>
      </c>
      <c r="AR17" s="384">
        <v>0.63</v>
      </c>
      <c r="AS17" s="305">
        <f t="shared" si="32"/>
        <v>14</v>
      </c>
      <c r="AT17" s="319">
        <v>0.53</v>
      </c>
      <c r="AU17" s="307">
        <f t="shared" si="33"/>
        <v>14</v>
      </c>
      <c r="AV17" s="384">
        <v>0.04</v>
      </c>
      <c r="AW17" s="305">
        <f t="shared" si="34"/>
        <v>17</v>
      </c>
      <c r="AX17" s="319">
        <v>-0.1</v>
      </c>
      <c r="AY17" s="307">
        <f t="shared" si="35"/>
        <v>17</v>
      </c>
      <c r="AZ17" s="384">
        <f t="shared" si="36"/>
        <v>15.5</v>
      </c>
      <c r="BA17" s="305">
        <f t="shared" si="37"/>
        <v>15</v>
      </c>
      <c r="BB17" s="319">
        <f t="shared" si="38"/>
        <v>15.5</v>
      </c>
      <c r="BC17" s="321">
        <f t="shared" si="39"/>
        <v>14</v>
      </c>
      <c r="BD17" s="384" cm="1">
        <f t="array" aca="1" ref="BD17" ca="1">SUMPRODUCT(--($D$7:$BC$7=BD$7),$D$3:$BC$3,$D17:$BC17)</f>
        <v>12.777777777777777</v>
      </c>
      <c r="BE17" s="305">
        <f t="shared" ca="1" si="40"/>
        <v>13</v>
      </c>
      <c r="BF17" s="319" cm="1">
        <f t="array" aca="1" ref="BF17" ca="1">ROUNDUP(SUMPRODUCT(--($D$7:$BC$7=BF$7),$D$3:$BC$3,$D17:$BC17),3)</f>
        <v>12.945</v>
      </c>
      <c r="BG17" s="321">
        <f t="shared" ca="1" si="41"/>
        <v>9</v>
      </c>
      <c r="BH17" s="451">
        <f t="shared" ca="1" si="42"/>
        <v>4</v>
      </c>
      <c r="BI17" s="316" t="s">
        <v>55</v>
      </c>
      <c r="BJ17" s="322" t="s">
        <v>5</v>
      </c>
    </row>
    <row r="18" spans="2:62" s="445" customFormat="1" ht="12.95" customHeight="1">
      <c r="B18" s="315" t="s">
        <v>5</v>
      </c>
      <c r="C18" s="316" t="s">
        <v>339</v>
      </c>
      <c r="D18" s="384">
        <v>66.72</v>
      </c>
      <c r="E18" s="305">
        <f t="shared" si="9"/>
        <v>23</v>
      </c>
      <c r="F18" s="319">
        <v>69.319999999999993</v>
      </c>
      <c r="G18" s="321">
        <f t="shared" si="10"/>
        <v>25</v>
      </c>
      <c r="H18" s="408">
        <v>103.53591234317058</v>
      </c>
      <c r="I18" s="409">
        <f t="shared" si="11"/>
        <v>3</v>
      </c>
      <c r="J18" s="318">
        <v>6.33</v>
      </c>
      <c r="K18" s="321">
        <f t="shared" si="12"/>
        <v>3</v>
      </c>
      <c r="L18" s="317">
        <v>6867.2999999999993</v>
      </c>
      <c r="M18" s="410">
        <f t="shared" si="13"/>
        <v>1</v>
      </c>
      <c r="N18" s="318">
        <v>6820.01</v>
      </c>
      <c r="O18" s="321">
        <f t="shared" si="14"/>
        <v>2</v>
      </c>
      <c r="P18" s="311">
        <v>92.2</v>
      </c>
      <c r="Q18" s="305">
        <f t="shared" si="15"/>
        <v>3</v>
      </c>
      <c r="R18" s="411">
        <v>92.2</v>
      </c>
      <c r="S18" s="412">
        <f t="shared" si="16"/>
        <v>3</v>
      </c>
      <c r="T18" s="384">
        <v>57.6</v>
      </c>
      <c r="U18" s="305">
        <f t="shared" si="17"/>
        <v>12</v>
      </c>
      <c r="V18" s="319">
        <v>57.6</v>
      </c>
      <c r="W18" s="307">
        <f t="shared" si="18"/>
        <v>12</v>
      </c>
      <c r="X18" s="311">
        <v>3.16</v>
      </c>
      <c r="Y18" s="305">
        <f t="shared" si="19"/>
        <v>6</v>
      </c>
      <c r="Z18" s="413">
        <v>2.89</v>
      </c>
      <c r="AA18" s="412">
        <f t="shared" si="20"/>
        <v>6</v>
      </c>
      <c r="AB18" s="384">
        <f t="shared" si="43"/>
        <v>8</v>
      </c>
      <c r="AC18" s="410">
        <f t="shared" si="8"/>
        <v>5</v>
      </c>
      <c r="AD18" s="319">
        <f t="shared" si="22"/>
        <v>8.5</v>
      </c>
      <c r="AE18" s="321">
        <f t="shared" si="23"/>
        <v>6</v>
      </c>
      <c r="AF18" s="384">
        <v>0.88</v>
      </c>
      <c r="AG18" s="410">
        <f t="shared" si="24"/>
        <v>1</v>
      </c>
      <c r="AH18" s="319">
        <v>0.9</v>
      </c>
      <c r="AI18" s="321">
        <f t="shared" si="25"/>
        <v>1</v>
      </c>
      <c r="AJ18" s="384">
        <v>1.6E-2</v>
      </c>
      <c r="AK18" s="305">
        <f t="shared" si="26"/>
        <v>1</v>
      </c>
      <c r="AL18" s="319">
        <v>0.88700000000000001</v>
      </c>
      <c r="AM18" s="321">
        <f t="shared" si="27"/>
        <v>2</v>
      </c>
      <c r="AN18" s="384">
        <f>AVERAGE(AG18,AK18)</f>
        <v>1</v>
      </c>
      <c r="AO18" s="305">
        <f t="shared" si="29"/>
        <v>1</v>
      </c>
      <c r="AP18" s="319">
        <f t="shared" si="30"/>
        <v>1.5</v>
      </c>
      <c r="AQ18" s="307">
        <f t="shared" si="31"/>
        <v>1</v>
      </c>
      <c r="AR18" s="384">
        <v>1.84</v>
      </c>
      <c r="AS18" s="305">
        <f t="shared" si="32"/>
        <v>2</v>
      </c>
      <c r="AT18" s="319">
        <v>1.94</v>
      </c>
      <c r="AU18" s="307">
        <f t="shared" si="33"/>
        <v>1</v>
      </c>
      <c r="AV18" s="384">
        <v>2.14</v>
      </c>
      <c r="AW18" s="305">
        <f t="shared" si="34"/>
        <v>2</v>
      </c>
      <c r="AX18" s="319">
        <v>2.0699999999999998</v>
      </c>
      <c r="AY18" s="307">
        <f t="shared" si="35"/>
        <v>2</v>
      </c>
      <c r="AZ18" s="384">
        <f t="shared" si="36"/>
        <v>2</v>
      </c>
      <c r="BA18" s="305">
        <f t="shared" si="37"/>
        <v>2</v>
      </c>
      <c r="BB18" s="319">
        <f t="shared" si="38"/>
        <v>1.5</v>
      </c>
      <c r="BC18" s="321">
        <f t="shared" si="39"/>
        <v>1</v>
      </c>
      <c r="BD18" s="384" cm="1">
        <f t="array" aca="1" ref="BD18" ca="1">SUMPRODUCT(--($D$7:$BC$7=BD$7),$D$3:$BC$3,$D18:$BC18)</f>
        <v>3.6666666666666665</v>
      </c>
      <c r="BE18" s="305">
        <f t="shared" ca="1" si="40"/>
        <v>1</v>
      </c>
      <c r="BF18" s="319" cm="1">
        <f t="array" aca="1" ref="BF18" ca="1">ROUNDUP(SUMPRODUCT(--($D$7:$BC$7=BF$7),$D$3:$BC$3,$D18:$BC18),3)</f>
        <v>3.8340000000000001</v>
      </c>
      <c r="BG18" s="321">
        <f t="shared" ca="1" si="41"/>
        <v>1</v>
      </c>
      <c r="BH18" s="451">
        <f t="shared" ca="1" si="42"/>
        <v>0</v>
      </c>
      <c r="BI18" s="316" t="s">
        <v>339</v>
      </c>
      <c r="BJ18" s="322" t="s">
        <v>5</v>
      </c>
    </row>
    <row r="19" spans="2:62" s="445" customFormat="1" ht="12.95" customHeight="1">
      <c r="B19" s="315" t="s">
        <v>5</v>
      </c>
      <c r="C19" s="316" t="s">
        <v>27</v>
      </c>
      <c r="D19" s="384">
        <v>113.27</v>
      </c>
      <c r="E19" s="305">
        <f t="shared" si="9"/>
        <v>3</v>
      </c>
      <c r="F19" s="319">
        <v>130.25</v>
      </c>
      <c r="G19" s="321">
        <f t="shared" si="10"/>
        <v>5</v>
      </c>
      <c r="H19" s="408">
        <v>844.17724479598564</v>
      </c>
      <c r="I19" s="409">
        <f t="shared" si="11"/>
        <v>29</v>
      </c>
      <c r="J19" s="318">
        <v>761.37</v>
      </c>
      <c r="K19" s="321">
        <f t="shared" si="12"/>
        <v>28</v>
      </c>
      <c r="L19" s="317">
        <v>3540.9</v>
      </c>
      <c r="M19" s="410">
        <f t="shared" si="13"/>
        <v>5</v>
      </c>
      <c r="N19" s="318">
        <v>3578.6</v>
      </c>
      <c r="O19" s="321">
        <f t="shared" si="14"/>
        <v>6</v>
      </c>
      <c r="P19" s="311">
        <v>53</v>
      </c>
      <c r="Q19" s="305">
        <f t="shared" si="15"/>
        <v>16</v>
      </c>
      <c r="R19" s="411">
        <v>53</v>
      </c>
      <c r="S19" s="412">
        <f t="shared" si="16"/>
        <v>16</v>
      </c>
      <c r="T19" s="384">
        <v>60</v>
      </c>
      <c r="U19" s="305">
        <f t="shared" si="17"/>
        <v>10</v>
      </c>
      <c r="V19" s="319">
        <v>60</v>
      </c>
      <c r="W19" s="307">
        <f t="shared" si="18"/>
        <v>10</v>
      </c>
      <c r="X19" s="311">
        <v>4.63</v>
      </c>
      <c r="Y19" s="305">
        <f t="shared" si="19"/>
        <v>8</v>
      </c>
      <c r="Z19" s="413">
        <v>4.22</v>
      </c>
      <c r="AA19" s="412">
        <f t="shared" si="20"/>
        <v>8</v>
      </c>
      <c r="AB19" s="384">
        <f t="shared" si="43"/>
        <v>11.833333333333334</v>
      </c>
      <c r="AC19" s="410">
        <f t="shared" si="8"/>
        <v>9</v>
      </c>
      <c r="AD19" s="319">
        <f t="shared" si="22"/>
        <v>12.166666666666666</v>
      </c>
      <c r="AE19" s="321">
        <f t="shared" si="23"/>
        <v>9</v>
      </c>
      <c r="AF19" s="384">
        <v>0.66</v>
      </c>
      <c r="AG19" s="410">
        <f t="shared" si="24"/>
        <v>13</v>
      </c>
      <c r="AH19" s="319">
        <v>0.66</v>
      </c>
      <c r="AI19" s="321">
        <f t="shared" si="25"/>
        <v>15</v>
      </c>
      <c r="AJ19" s="384">
        <v>0.109</v>
      </c>
      <c r="AK19" s="305">
        <f t="shared" si="26"/>
        <v>11</v>
      </c>
      <c r="AL19" s="319">
        <v>0.79800000000000004</v>
      </c>
      <c r="AM19" s="321">
        <f t="shared" si="27"/>
        <v>11</v>
      </c>
      <c r="AN19" s="384">
        <f t="shared" ref="AN19:AN42" si="44">AVERAGE(AG19,AK19)</f>
        <v>12</v>
      </c>
      <c r="AO19" s="305">
        <f t="shared" si="29"/>
        <v>13</v>
      </c>
      <c r="AP19" s="319">
        <f t="shared" si="30"/>
        <v>13</v>
      </c>
      <c r="AQ19" s="307">
        <f t="shared" si="31"/>
        <v>11</v>
      </c>
      <c r="AR19" s="384">
        <v>0.28999999999999998</v>
      </c>
      <c r="AS19" s="305">
        <f t="shared" si="32"/>
        <v>18</v>
      </c>
      <c r="AT19" s="319">
        <v>0.26</v>
      </c>
      <c r="AU19" s="307">
        <f t="shared" si="33"/>
        <v>19</v>
      </c>
      <c r="AV19" s="384">
        <v>0.56999999999999995</v>
      </c>
      <c r="AW19" s="305">
        <f t="shared" si="34"/>
        <v>14</v>
      </c>
      <c r="AX19" s="319">
        <v>0.51</v>
      </c>
      <c r="AY19" s="307">
        <f t="shared" si="35"/>
        <v>14</v>
      </c>
      <c r="AZ19" s="384">
        <f t="shared" si="36"/>
        <v>16</v>
      </c>
      <c r="BA19" s="305">
        <f t="shared" si="37"/>
        <v>17</v>
      </c>
      <c r="BB19" s="319">
        <f t="shared" si="38"/>
        <v>16.5</v>
      </c>
      <c r="BC19" s="321">
        <f t="shared" si="39"/>
        <v>17</v>
      </c>
      <c r="BD19" s="384" cm="1">
        <f t="array" aca="1" ref="BD19" ca="1">SUMPRODUCT(--($D$7:$BC$7=BD$7),$D$3:$BC$3,$D19:$BC19)</f>
        <v>13.277777777777779</v>
      </c>
      <c r="BE19" s="305">
        <f t="shared" ca="1" si="40"/>
        <v>15</v>
      </c>
      <c r="BF19" s="319" cm="1">
        <f t="array" aca="1" ref="BF19" ca="1">ROUNDUP(SUMPRODUCT(--($D$7:$BC$7=BF$7),$D$3:$BC$3,$D19:$BC19),3)</f>
        <v>13.888999999999999</v>
      </c>
      <c r="BG19" s="321">
        <f t="shared" ca="1" si="41"/>
        <v>14</v>
      </c>
      <c r="BH19" s="451">
        <f t="shared" ca="1" si="42"/>
        <v>1</v>
      </c>
      <c r="BI19" s="316" t="s">
        <v>27</v>
      </c>
      <c r="BJ19" s="322" t="s">
        <v>5</v>
      </c>
    </row>
    <row r="20" spans="2:62" s="445" customFormat="1" ht="12.95" customHeight="1">
      <c r="B20" s="315" t="s">
        <v>5</v>
      </c>
      <c r="C20" s="316" t="s">
        <v>340</v>
      </c>
      <c r="D20" s="384">
        <v>63.24</v>
      </c>
      <c r="E20" s="305">
        <f t="shared" si="9"/>
        <v>24</v>
      </c>
      <c r="F20" s="319">
        <v>32.5</v>
      </c>
      <c r="G20" s="321">
        <f t="shared" si="10"/>
        <v>29</v>
      </c>
      <c r="H20" s="408">
        <v>391.61741729502074</v>
      </c>
      <c r="I20" s="409">
        <f t="shared" si="11"/>
        <v>9</v>
      </c>
      <c r="J20" s="318">
        <v>145.32</v>
      </c>
      <c r="K20" s="321">
        <f t="shared" si="12"/>
        <v>8</v>
      </c>
      <c r="L20" s="317">
        <v>3540.9</v>
      </c>
      <c r="M20" s="410">
        <f t="shared" si="13"/>
        <v>5</v>
      </c>
      <c r="N20" s="318">
        <v>3552.2</v>
      </c>
      <c r="O20" s="321">
        <f t="shared" si="14"/>
        <v>7</v>
      </c>
      <c r="P20" s="311">
        <v>59</v>
      </c>
      <c r="Q20" s="305">
        <f t="shared" si="15"/>
        <v>13</v>
      </c>
      <c r="R20" s="411">
        <v>59</v>
      </c>
      <c r="S20" s="412">
        <f t="shared" si="16"/>
        <v>13</v>
      </c>
      <c r="T20" s="384">
        <v>66.3</v>
      </c>
      <c r="U20" s="305">
        <f t="shared" si="17"/>
        <v>2</v>
      </c>
      <c r="V20" s="319">
        <v>66.3</v>
      </c>
      <c r="W20" s="307">
        <f t="shared" si="18"/>
        <v>2</v>
      </c>
      <c r="X20" s="311">
        <v>1</v>
      </c>
      <c r="Y20" s="305">
        <f t="shared" si="19"/>
        <v>2</v>
      </c>
      <c r="Z20" s="413">
        <v>0.95</v>
      </c>
      <c r="AA20" s="412">
        <f t="shared" si="20"/>
        <v>2</v>
      </c>
      <c r="AB20" s="384">
        <f t="shared" si="43"/>
        <v>9.1666666666666661</v>
      </c>
      <c r="AC20" s="410">
        <f t="shared" si="8"/>
        <v>8</v>
      </c>
      <c r="AD20" s="319">
        <f t="shared" si="22"/>
        <v>10.166666666666666</v>
      </c>
      <c r="AE20" s="321">
        <f t="shared" si="23"/>
        <v>8</v>
      </c>
      <c r="AF20" s="384">
        <v>0.73</v>
      </c>
      <c r="AG20" s="410">
        <f t="shared" si="24"/>
        <v>9</v>
      </c>
      <c r="AH20" s="319">
        <v>0.74</v>
      </c>
      <c r="AI20" s="321">
        <f t="shared" si="25"/>
        <v>7</v>
      </c>
      <c r="AJ20" s="384">
        <v>0.18</v>
      </c>
      <c r="AK20" s="305">
        <f t="shared" si="26"/>
        <v>14</v>
      </c>
      <c r="AL20" s="319">
        <v>0.69699999999999995</v>
      </c>
      <c r="AM20" s="321">
        <f t="shared" si="27"/>
        <v>21</v>
      </c>
      <c r="AN20" s="384">
        <f t="shared" si="44"/>
        <v>11.5</v>
      </c>
      <c r="AO20" s="305">
        <f t="shared" si="29"/>
        <v>10</v>
      </c>
      <c r="AP20" s="319">
        <f t="shared" si="30"/>
        <v>14</v>
      </c>
      <c r="AQ20" s="307">
        <f t="shared" si="31"/>
        <v>12</v>
      </c>
      <c r="AR20" s="384">
        <v>0.53</v>
      </c>
      <c r="AS20" s="305">
        <f t="shared" si="32"/>
        <v>16</v>
      </c>
      <c r="AT20" s="319">
        <v>0.38</v>
      </c>
      <c r="AU20" s="307">
        <f t="shared" si="33"/>
        <v>17</v>
      </c>
      <c r="AV20" s="384">
        <v>0.24</v>
      </c>
      <c r="AW20" s="305">
        <f t="shared" si="34"/>
        <v>15</v>
      </c>
      <c r="AX20" s="319">
        <v>0.21</v>
      </c>
      <c r="AY20" s="307">
        <f t="shared" si="35"/>
        <v>15</v>
      </c>
      <c r="AZ20" s="384">
        <f t="shared" si="36"/>
        <v>15.5</v>
      </c>
      <c r="BA20" s="305">
        <f t="shared" si="37"/>
        <v>15</v>
      </c>
      <c r="BB20" s="319">
        <f t="shared" si="38"/>
        <v>16</v>
      </c>
      <c r="BC20" s="321">
        <f t="shared" si="39"/>
        <v>16</v>
      </c>
      <c r="BD20" s="384" cm="1">
        <f t="array" aca="1" ref="BD20" ca="1">SUMPRODUCT(--($D$7:$BC$7=BD$7),$D$3:$BC$3,$D20:$BC20)</f>
        <v>12.055555555555554</v>
      </c>
      <c r="BE20" s="305">
        <f t="shared" ca="1" si="40"/>
        <v>12</v>
      </c>
      <c r="BF20" s="319" cm="1">
        <f t="array" aca="1" ref="BF20" ca="1">ROUNDUP(SUMPRODUCT(--($D$7:$BC$7=BF$7),$D$3:$BC$3,$D20:$BC20),3)</f>
        <v>13.388999999999999</v>
      </c>
      <c r="BG20" s="321">
        <f t="shared" ca="1" si="41"/>
        <v>13</v>
      </c>
      <c r="BH20" s="451">
        <f t="shared" ca="1" si="42"/>
        <v>-1</v>
      </c>
      <c r="BI20" s="316" t="s">
        <v>340</v>
      </c>
      <c r="BJ20" s="322" t="s">
        <v>5</v>
      </c>
    </row>
    <row r="21" spans="2:62" s="445" customFormat="1" ht="12.95" customHeight="1">
      <c r="B21" s="315" t="s">
        <v>5</v>
      </c>
      <c r="C21" s="316" t="s">
        <v>28</v>
      </c>
      <c r="D21" s="384">
        <v>54.4</v>
      </c>
      <c r="E21" s="305">
        <f t="shared" si="9"/>
        <v>27</v>
      </c>
      <c r="F21" s="319">
        <v>81.290000000000006</v>
      </c>
      <c r="G21" s="321">
        <f t="shared" si="10"/>
        <v>22</v>
      </c>
      <c r="H21" s="408">
        <v>52.486286032486994</v>
      </c>
      <c r="I21" s="409">
        <f t="shared" si="11"/>
        <v>2</v>
      </c>
      <c r="J21" s="318">
        <v>2.89</v>
      </c>
      <c r="K21" s="321">
        <f t="shared" si="12"/>
        <v>2</v>
      </c>
      <c r="L21" s="317">
        <v>6660.9</v>
      </c>
      <c r="M21" s="410">
        <f t="shared" si="13"/>
        <v>2</v>
      </c>
      <c r="N21" s="318">
        <v>8542.2000000000007</v>
      </c>
      <c r="O21" s="321">
        <f t="shared" si="14"/>
        <v>1</v>
      </c>
      <c r="P21" s="311">
        <v>93.1</v>
      </c>
      <c r="Q21" s="305">
        <f t="shared" si="15"/>
        <v>2</v>
      </c>
      <c r="R21" s="411">
        <v>93.1</v>
      </c>
      <c r="S21" s="412">
        <f t="shared" si="16"/>
        <v>2</v>
      </c>
      <c r="T21" s="384">
        <v>60.6</v>
      </c>
      <c r="U21" s="305">
        <f t="shared" si="17"/>
        <v>9</v>
      </c>
      <c r="V21" s="319">
        <v>60.6</v>
      </c>
      <c r="W21" s="307">
        <f t="shared" si="18"/>
        <v>9</v>
      </c>
      <c r="X21" s="311">
        <v>2.06</v>
      </c>
      <c r="Y21" s="305">
        <f t="shared" si="19"/>
        <v>5</v>
      </c>
      <c r="Z21" s="413">
        <v>2.72</v>
      </c>
      <c r="AA21" s="412">
        <f t="shared" si="20"/>
        <v>5</v>
      </c>
      <c r="AB21" s="384">
        <f t="shared" si="43"/>
        <v>7.833333333333333</v>
      </c>
      <c r="AC21" s="410">
        <f t="shared" si="8"/>
        <v>3</v>
      </c>
      <c r="AD21" s="319">
        <f t="shared" si="22"/>
        <v>6.833333333333333</v>
      </c>
      <c r="AE21" s="321">
        <f t="shared" si="23"/>
        <v>3</v>
      </c>
      <c r="AF21" s="384">
        <v>0.76</v>
      </c>
      <c r="AG21" s="410">
        <f t="shared" si="24"/>
        <v>5</v>
      </c>
      <c r="AH21" s="319">
        <v>0.8</v>
      </c>
      <c r="AI21" s="321">
        <f t="shared" si="25"/>
        <v>4</v>
      </c>
      <c r="AJ21" s="384">
        <v>2.3E-2</v>
      </c>
      <c r="AK21" s="305">
        <f t="shared" si="26"/>
        <v>2</v>
      </c>
      <c r="AL21" s="319">
        <v>0.92500000000000004</v>
      </c>
      <c r="AM21" s="321">
        <f t="shared" si="27"/>
        <v>1</v>
      </c>
      <c r="AN21" s="384">
        <f t="shared" si="44"/>
        <v>3.5</v>
      </c>
      <c r="AO21" s="305">
        <f t="shared" si="29"/>
        <v>3</v>
      </c>
      <c r="AP21" s="319">
        <f t="shared" si="30"/>
        <v>2.5</v>
      </c>
      <c r="AQ21" s="307">
        <f t="shared" si="31"/>
        <v>2</v>
      </c>
      <c r="AR21" s="384">
        <v>1.65</v>
      </c>
      <c r="AS21" s="305">
        <f t="shared" si="32"/>
        <v>3</v>
      </c>
      <c r="AT21" s="319">
        <v>1.57</v>
      </c>
      <c r="AU21" s="307">
        <f t="shared" si="33"/>
        <v>4</v>
      </c>
      <c r="AV21" s="384">
        <v>2.13</v>
      </c>
      <c r="AW21" s="305">
        <f t="shared" si="34"/>
        <v>3</v>
      </c>
      <c r="AX21" s="319">
        <v>2.06</v>
      </c>
      <c r="AY21" s="307">
        <f t="shared" si="35"/>
        <v>3</v>
      </c>
      <c r="AZ21" s="384">
        <f t="shared" si="36"/>
        <v>3</v>
      </c>
      <c r="BA21" s="305">
        <f t="shared" si="37"/>
        <v>3</v>
      </c>
      <c r="BB21" s="319">
        <f t="shared" si="38"/>
        <v>3.5</v>
      </c>
      <c r="BC21" s="321">
        <f t="shared" si="39"/>
        <v>3</v>
      </c>
      <c r="BD21" s="384" cm="1">
        <f t="array" aca="1" ref="BD21" ca="1">SUMPRODUCT(--($D$7:$BC$7=BD$7),$D$3:$BC$3,$D21:$BC21)</f>
        <v>4.7777777777777768</v>
      </c>
      <c r="BE21" s="305">
        <f t="shared" ca="1" si="40"/>
        <v>3</v>
      </c>
      <c r="BF21" s="319" cm="1">
        <f t="array" aca="1" ref="BF21" ca="1">ROUNDUP(SUMPRODUCT(--($D$7:$BC$7=BF$7),$D$3:$BC$3,$D21:$BC21),3)</f>
        <v>4.2780000000000005</v>
      </c>
      <c r="BG21" s="321">
        <f t="shared" ca="1" si="41"/>
        <v>2</v>
      </c>
      <c r="BH21" s="451">
        <f t="shared" ca="1" si="42"/>
        <v>1</v>
      </c>
      <c r="BI21" s="316" t="s">
        <v>28</v>
      </c>
      <c r="BJ21" s="322" t="s">
        <v>5</v>
      </c>
    </row>
    <row r="22" spans="2:62" s="445" customFormat="1" ht="12.95" customHeight="1">
      <c r="B22" s="315" t="s">
        <v>5</v>
      </c>
      <c r="C22" s="316" t="s">
        <v>341</v>
      </c>
      <c r="D22" s="384">
        <v>103.68</v>
      </c>
      <c r="E22" s="305">
        <f t="shared" si="9"/>
        <v>6</v>
      </c>
      <c r="F22" s="319">
        <v>125.13</v>
      </c>
      <c r="G22" s="321">
        <f t="shared" si="10"/>
        <v>8</v>
      </c>
      <c r="H22" s="408">
        <v>484.68839080424948</v>
      </c>
      <c r="I22" s="409">
        <f t="shared" si="11"/>
        <v>14</v>
      </c>
      <c r="J22" s="318">
        <v>488.26</v>
      </c>
      <c r="K22" s="321">
        <f t="shared" si="12"/>
        <v>21</v>
      </c>
      <c r="L22" s="317">
        <v>0</v>
      </c>
      <c r="M22" s="410">
        <f t="shared" si="13"/>
        <v>18</v>
      </c>
      <c r="N22" s="318">
        <v>50</v>
      </c>
      <c r="O22" s="321">
        <f t="shared" si="14"/>
        <v>20</v>
      </c>
      <c r="P22" s="311">
        <v>47.8</v>
      </c>
      <c r="Q22" s="305">
        <f t="shared" si="15"/>
        <v>17</v>
      </c>
      <c r="R22" s="411">
        <v>47.8</v>
      </c>
      <c r="S22" s="412">
        <f t="shared" si="16"/>
        <v>17</v>
      </c>
      <c r="T22" s="384">
        <v>20.3</v>
      </c>
      <c r="U22" s="305">
        <f t="shared" si="17"/>
        <v>29</v>
      </c>
      <c r="V22" s="319">
        <v>20.3</v>
      </c>
      <c r="W22" s="307">
        <f t="shared" si="18"/>
        <v>29</v>
      </c>
      <c r="X22" s="311">
        <v>16.23</v>
      </c>
      <c r="Y22" s="305">
        <f t="shared" si="19"/>
        <v>19</v>
      </c>
      <c r="Z22" s="413">
        <v>16.170000000000002</v>
      </c>
      <c r="AA22" s="412">
        <f t="shared" si="20"/>
        <v>19</v>
      </c>
      <c r="AB22" s="384">
        <f t="shared" si="43"/>
        <v>17.166666666666668</v>
      </c>
      <c r="AC22" s="410">
        <f t="shared" si="8"/>
        <v>18</v>
      </c>
      <c r="AD22" s="319">
        <f t="shared" si="22"/>
        <v>19</v>
      </c>
      <c r="AE22" s="321">
        <f t="shared" si="23"/>
        <v>21</v>
      </c>
      <c r="AF22" s="384">
        <v>0.44</v>
      </c>
      <c r="AG22" s="410">
        <f t="shared" si="24"/>
        <v>28</v>
      </c>
      <c r="AH22" s="319">
        <v>0.39</v>
      </c>
      <c r="AI22" s="321">
        <f t="shared" si="25"/>
        <v>29</v>
      </c>
      <c r="AJ22" s="384">
        <v>0.27200000000000002</v>
      </c>
      <c r="AK22" s="305">
        <f t="shared" si="26"/>
        <v>18</v>
      </c>
      <c r="AL22" s="319">
        <v>0.51100000000000001</v>
      </c>
      <c r="AM22" s="321">
        <f t="shared" si="27"/>
        <v>30</v>
      </c>
      <c r="AN22" s="384">
        <f t="shared" si="44"/>
        <v>23</v>
      </c>
      <c r="AO22" s="305">
        <f t="shared" si="29"/>
        <v>22</v>
      </c>
      <c r="AP22" s="319">
        <f t="shared" si="30"/>
        <v>29.5</v>
      </c>
      <c r="AQ22" s="307">
        <f t="shared" si="31"/>
        <v>30</v>
      </c>
      <c r="AR22" s="384">
        <v>-0.09</v>
      </c>
      <c r="AS22" s="305">
        <f t="shared" si="32"/>
        <v>25</v>
      </c>
      <c r="AT22" s="319">
        <v>-0.2</v>
      </c>
      <c r="AU22" s="307">
        <f t="shared" si="33"/>
        <v>25</v>
      </c>
      <c r="AV22" s="384">
        <v>-0.39</v>
      </c>
      <c r="AW22" s="305">
        <f t="shared" si="34"/>
        <v>21</v>
      </c>
      <c r="AX22" s="319">
        <v>-0.47</v>
      </c>
      <c r="AY22" s="307">
        <f t="shared" si="35"/>
        <v>25</v>
      </c>
      <c r="AZ22" s="384">
        <f t="shared" si="36"/>
        <v>23</v>
      </c>
      <c r="BA22" s="305">
        <f t="shared" si="37"/>
        <v>22</v>
      </c>
      <c r="BB22" s="319">
        <f t="shared" si="38"/>
        <v>25</v>
      </c>
      <c r="BC22" s="321">
        <f t="shared" si="39"/>
        <v>26</v>
      </c>
      <c r="BD22" s="384" cm="1">
        <f t="array" aca="1" ref="BD22" ca="1">SUMPRODUCT(--($D$7:$BC$7=BD$7),$D$3:$BC$3,$D22:$BC22)</f>
        <v>21.055555555555557</v>
      </c>
      <c r="BE22" s="305">
        <f t="shared" ca="1" si="40"/>
        <v>21</v>
      </c>
      <c r="BF22" s="319" cm="1">
        <f t="array" aca="1" ref="BF22" ca="1">ROUNDUP(SUMPRODUCT(--($D$7:$BC$7=BF$7),$D$3:$BC$3,$D22:$BC22),3)</f>
        <v>24.5</v>
      </c>
      <c r="BG22" s="321">
        <f t="shared" ca="1" si="41"/>
        <v>29</v>
      </c>
      <c r="BH22" s="451">
        <f t="shared" ca="1" si="42"/>
        <v>-8</v>
      </c>
      <c r="BI22" s="316" t="s">
        <v>341</v>
      </c>
      <c r="BJ22" s="322" t="s">
        <v>5</v>
      </c>
    </row>
    <row r="23" spans="2:62" s="445" customFormat="1" ht="12.95" customHeight="1">
      <c r="B23" s="323" t="s">
        <v>5</v>
      </c>
      <c r="C23" s="324" t="s">
        <v>342</v>
      </c>
      <c r="D23" s="387">
        <v>91.52</v>
      </c>
      <c r="E23" s="326">
        <f t="shared" si="9"/>
        <v>14</v>
      </c>
      <c r="F23" s="331">
        <v>92.81</v>
      </c>
      <c r="G23" s="333">
        <f t="shared" si="10"/>
        <v>16</v>
      </c>
      <c r="H23" s="414">
        <v>348.57935082940196</v>
      </c>
      <c r="I23" s="415">
        <f t="shared" si="11"/>
        <v>8</v>
      </c>
      <c r="J23" s="327">
        <v>221.97</v>
      </c>
      <c r="K23" s="333">
        <f t="shared" si="12"/>
        <v>10</v>
      </c>
      <c r="L23" s="325">
        <v>2772</v>
      </c>
      <c r="M23" s="416">
        <f t="shared" si="13"/>
        <v>10</v>
      </c>
      <c r="N23" s="327">
        <v>2332.4</v>
      </c>
      <c r="O23" s="333">
        <f t="shared" si="14"/>
        <v>10</v>
      </c>
      <c r="P23" s="332">
        <v>83.9</v>
      </c>
      <c r="Q23" s="326">
        <f t="shared" si="15"/>
        <v>6</v>
      </c>
      <c r="R23" s="417">
        <v>83.9</v>
      </c>
      <c r="S23" s="418">
        <f t="shared" si="16"/>
        <v>6</v>
      </c>
      <c r="T23" s="387">
        <v>62.3</v>
      </c>
      <c r="U23" s="326">
        <f t="shared" si="17"/>
        <v>6</v>
      </c>
      <c r="V23" s="331">
        <v>62.3</v>
      </c>
      <c r="W23" s="328">
        <f t="shared" si="18"/>
        <v>6</v>
      </c>
      <c r="X23" s="332">
        <v>5.78</v>
      </c>
      <c r="Y23" s="326">
        <f t="shared" si="19"/>
        <v>9</v>
      </c>
      <c r="Z23" s="419">
        <v>5.66</v>
      </c>
      <c r="AA23" s="418">
        <f t="shared" si="20"/>
        <v>10</v>
      </c>
      <c r="AB23" s="387">
        <f t="shared" si="43"/>
        <v>8.8333333333333339</v>
      </c>
      <c r="AC23" s="416">
        <f t="shared" si="8"/>
        <v>7</v>
      </c>
      <c r="AD23" s="331">
        <f t="shared" si="22"/>
        <v>9.6666666666666661</v>
      </c>
      <c r="AE23" s="333">
        <f t="shared" si="23"/>
        <v>7</v>
      </c>
      <c r="AF23" s="387">
        <v>0.66</v>
      </c>
      <c r="AG23" s="416">
        <f t="shared" si="24"/>
        <v>13</v>
      </c>
      <c r="AH23" s="331">
        <v>0.69</v>
      </c>
      <c r="AI23" s="333">
        <f t="shared" si="25"/>
        <v>12</v>
      </c>
      <c r="AJ23" s="387">
        <v>9.8000000000000004E-2</v>
      </c>
      <c r="AK23" s="326">
        <f t="shared" si="26"/>
        <v>10</v>
      </c>
      <c r="AL23" s="331">
        <v>0.82099999999999995</v>
      </c>
      <c r="AM23" s="333">
        <f t="shared" si="27"/>
        <v>8</v>
      </c>
      <c r="AN23" s="387">
        <f t="shared" si="44"/>
        <v>11.5</v>
      </c>
      <c r="AO23" s="326">
        <f t="shared" si="29"/>
        <v>10</v>
      </c>
      <c r="AP23" s="331">
        <f t="shared" si="30"/>
        <v>10</v>
      </c>
      <c r="AQ23" s="328">
        <f t="shared" si="31"/>
        <v>8</v>
      </c>
      <c r="AR23" s="387">
        <v>1.28</v>
      </c>
      <c r="AS23" s="326">
        <f t="shared" si="32"/>
        <v>10</v>
      </c>
      <c r="AT23" s="331">
        <v>1.24</v>
      </c>
      <c r="AU23" s="328">
        <f t="shared" si="33"/>
        <v>10</v>
      </c>
      <c r="AV23" s="387">
        <v>1.67</v>
      </c>
      <c r="AW23" s="326">
        <f t="shared" si="34"/>
        <v>6</v>
      </c>
      <c r="AX23" s="331">
        <v>1.62</v>
      </c>
      <c r="AY23" s="328">
        <f t="shared" si="35"/>
        <v>7</v>
      </c>
      <c r="AZ23" s="387">
        <f t="shared" si="36"/>
        <v>8</v>
      </c>
      <c r="BA23" s="326">
        <f t="shared" si="37"/>
        <v>8</v>
      </c>
      <c r="BB23" s="331">
        <f t="shared" si="38"/>
        <v>8.5</v>
      </c>
      <c r="BC23" s="333">
        <f t="shared" si="39"/>
        <v>8</v>
      </c>
      <c r="BD23" s="387" cm="1">
        <f t="array" aca="1" ref="BD23" ca="1">SUMPRODUCT(--($D$7:$BC$7=BD$7),$D$3:$BC$3,$D23:$BC23)</f>
        <v>9.4444444444444446</v>
      </c>
      <c r="BE23" s="326">
        <f t="shared" ca="1" si="40"/>
        <v>7</v>
      </c>
      <c r="BF23" s="331" cm="1">
        <f t="array" aca="1" ref="BF23" ca="1">ROUNDUP(SUMPRODUCT(--($D$7:$BC$7=BF$7),$D$3:$BC$3,$D23:$BC23),3)</f>
        <v>9.3889999999999993</v>
      </c>
      <c r="BG23" s="333">
        <f t="shared" ca="1" si="41"/>
        <v>7</v>
      </c>
      <c r="BH23" s="451">
        <f t="shared" ca="1" si="42"/>
        <v>0</v>
      </c>
      <c r="BI23" s="324" t="s">
        <v>342</v>
      </c>
      <c r="BJ23" s="334" t="s">
        <v>5</v>
      </c>
    </row>
    <row r="24" spans="2:62" s="445" customFormat="1" ht="12.95" customHeight="1">
      <c r="B24" s="301" t="s">
        <v>40</v>
      </c>
      <c r="C24" s="302" t="s">
        <v>343</v>
      </c>
      <c r="D24" s="381">
        <v>12.59</v>
      </c>
      <c r="E24" s="304">
        <f t="shared" si="9"/>
        <v>30</v>
      </c>
      <c r="F24" s="309">
        <v>15.21</v>
      </c>
      <c r="G24" s="313">
        <f t="shared" si="10"/>
        <v>30</v>
      </c>
      <c r="H24" s="402">
        <v>1.8539117538005192</v>
      </c>
      <c r="I24" s="403">
        <f t="shared" si="11"/>
        <v>1</v>
      </c>
      <c r="J24" s="306">
        <v>1.46</v>
      </c>
      <c r="K24" s="313">
        <f t="shared" si="12"/>
        <v>1</v>
      </c>
      <c r="L24" s="303">
        <v>0</v>
      </c>
      <c r="M24" s="404">
        <f t="shared" si="13"/>
        <v>18</v>
      </c>
      <c r="N24" s="306">
        <v>0</v>
      </c>
      <c r="O24" s="313">
        <f t="shared" si="14"/>
        <v>25</v>
      </c>
      <c r="P24" s="336">
        <v>21.1</v>
      </c>
      <c r="Q24" s="304">
        <f t="shared" si="15"/>
        <v>29</v>
      </c>
      <c r="R24" s="405">
        <v>21.1</v>
      </c>
      <c r="S24" s="406">
        <f t="shared" si="16"/>
        <v>29</v>
      </c>
      <c r="T24" s="381">
        <v>46.1</v>
      </c>
      <c r="U24" s="304">
        <f t="shared" si="17"/>
        <v>20</v>
      </c>
      <c r="V24" s="309">
        <v>46.1</v>
      </c>
      <c r="W24" s="312">
        <f t="shared" si="18"/>
        <v>20</v>
      </c>
      <c r="X24" s="336">
        <v>9.65</v>
      </c>
      <c r="Y24" s="304">
        <f t="shared" si="19"/>
        <v>12</v>
      </c>
      <c r="Z24" s="407">
        <v>9.73</v>
      </c>
      <c r="AA24" s="406">
        <f t="shared" si="20"/>
        <v>13</v>
      </c>
      <c r="AB24" s="381">
        <f t="shared" si="43"/>
        <v>18.333333333333332</v>
      </c>
      <c r="AC24" s="404">
        <f t="shared" si="8"/>
        <v>20</v>
      </c>
      <c r="AD24" s="309">
        <f t="shared" si="22"/>
        <v>19.666666666666668</v>
      </c>
      <c r="AE24" s="313">
        <f t="shared" si="23"/>
        <v>22</v>
      </c>
      <c r="AF24" s="381">
        <v>0.5</v>
      </c>
      <c r="AG24" s="404">
        <f t="shared" si="24"/>
        <v>24</v>
      </c>
      <c r="AH24" s="309">
        <v>0.51</v>
      </c>
      <c r="AI24" s="313">
        <f t="shared" si="25"/>
        <v>23</v>
      </c>
      <c r="AJ24" s="381">
        <v>0.56399999999999995</v>
      </c>
      <c r="AK24" s="304">
        <f t="shared" si="26"/>
        <v>30</v>
      </c>
      <c r="AL24" s="309">
        <v>0.63700000000000001</v>
      </c>
      <c r="AM24" s="313">
        <f t="shared" si="27"/>
        <v>27</v>
      </c>
      <c r="AN24" s="381">
        <f t="shared" si="44"/>
        <v>27</v>
      </c>
      <c r="AO24" s="304">
        <f t="shared" si="29"/>
        <v>28</v>
      </c>
      <c r="AP24" s="309">
        <f t="shared" si="30"/>
        <v>25</v>
      </c>
      <c r="AQ24" s="312">
        <f t="shared" si="31"/>
        <v>27</v>
      </c>
      <c r="AR24" s="381">
        <v>-1.72</v>
      </c>
      <c r="AS24" s="304">
        <f t="shared" si="32"/>
        <v>30</v>
      </c>
      <c r="AT24" s="309">
        <v>-1.75</v>
      </c>
      <c r="AU24" s="312">
        <f t="shared" si="33"/>
        <v>30</v>
      </c>
      <c r="AV24" s="381">
        <v>-1.55</v>
      </c>
      <c r="AW24" s="304">
        <f t="shared" si="34"/>
        <v>30</v>
      </c>
      <c r="AX24" s="309">
        <v>-1.54</v>
      </c>
      <c r="AY24" s="312">
        <f t="shared" si="35"/>
        <v>30</v>
      </c>
      <c r="AZ24" s="381">
        <f t="shared" si="36"/>
        <v>30</v>
      </c>
      <c r="BA24" s="304">
        <f t="shared" si="37"/>
        <v>30</v>
      </c>
      <c r="BB24" s="309">
        <f t="shared" si="38"/>
        <v>30</v>
      </c>
      <c r="BC24" s="313">
        <f t="shared" si="39"/>
        <v>30</v>
      </c>
      <c r="BD24" s="381" cm="1">
        <f t="array" aca="1" ref="BD24" ca="1">SUMPRODUCT(--($D$7:$BC$7=BD$7),$D$3:$BC$3,$D24:$BC24)</f>
        <v>25.111111111111111</v>
      </c>
      <c r="BE24" s="304">
        <f t="shared" ca="1" si="40"/>
        <v>30</v>
      </c>
      <c r="BF24" s="309" cm="1">
        <f t="array" aca="1" ref="BF24" ca="1">ROUNDUP(SUMPRODUCT(--($D$7:$BC$7=BF$7),$D$3:$BC$3,$D24:$BC24),3)</f>
        <v>24.889000000000003</v>
      </c>
      <c r="BG24" s="313">
        <f t="shared" ca="1" si="41"/>
        <v>30</v>
      </c>
      <c r="BH24" s="451">
        <f t="shared" ca="1" si="42"/>
        <v>0</v>
      </c>
      <c r="BI24" s="302" t="s">
        <v>343</v>
      </c>
      <c r="BJ24" s="314" t="s">
        <v>40</v>
      </c>
    </row>
    <row r="25" spans="2:62" s="445" customFormat="1" ht="12.95" customHeight="1">
      <c r="B25" s="315" t="s">
        <v>40</v>
      </c>
      <c r="C25" s="316" t="s">
        <v>344</v>
      </c>
      <c r="D25" s="384">
        <v>77.63</v>
      </c>
      <c r="E25" s="305">
        <f t="shared" si="9"/>
        <v>18</v>
      </c>
      <c r="F25" s="319">
        <v>88.97</v>
      </c>
      <c r="G25" s="321">
        <f t="shared" si="10"/>
        <v>19</v>
      </c>
      <c r="H25" s="408">
        <v>608.45332094751507</v>
      </c>
      <c r="I25" s="409">
        <f t="shared" si="11"/>
        <v>20</v>
      </c>
      <c r="J25" s="318">
        <v>738.64</v>
      </c>
      <c r="K25" s="321">
        <f t="shared" si="12"/>
        <v>27</v>
      </c>
      <c r="L25" s="317">
        <v>0</v>
      </c>
      <c r="M25" s="410">
        <f t="shared" si="13"/>
        <v>18</v>
      </c>
      <c r="N25" s="318">
        <v>0</v>
      </c>
      <c r="O25" s="321">
        <f t="shared" si="14"/>
        <v>25</v>
      </c>
      <c r="P25" s="311">
        <v>28.6</v>
      </c>
      <c r="Q25" s="305">
        <f t="shared" si="15"/>
        <v>26</v>
      </c>
      <c r="R25" s="411">
        <v>28.6</v>
      </c>
      <c r="S25" s="412">
        <f t="shared" si="16"/>
        <v>26</v>
      </c>
      <c r="T25" s="384">
        <v>27.2</v>
      </c>
      <c r="U25" s="305">
        <f t="shared" si="17"/>
        <v>26</v>
      </c>
      <c r="V25" s="319">
        <v>27.2</v>
      </c>
      <c r="W25" s="307">
        <f t="shared" si="18"/>
        <v>26</v>
      </c>
      <c r="X25" s="311">
        <v>10.29</v>
      </c>
      <c r="Y25" s="305">
        <f t="shared" si="19"/>
        <v>13</v>
      </c>
      <c r="Z25" s="413">
        <v>9.9600000000000009</v>
      </c>
      <c r="AA25" s="412">
        <f t="shared" si="20"/>
        <v>14</v>
      </c>
      <c r="AB25" s="384">
        <f t="shared" si="43"/>
        <v>20.166666666666668</v>
      </c>
      <c r="AC25" s="410">
        <f t="shared" si="8"/>
        <v>25</v>
      </c>
      <c r="AD25" s="319">
        <f t="shared" si="22"/>
        <v>22.833333333333332</v>
      </c>
      <c r="AE25" s="321">
        <f t="shared" si="23"/>
        <v>28</v>
      </c>
      <c r="AF25" s="384">
        <v>0.56000000000000005</v>
      </c>
      <c r="AG25" s="410">
        <f t="shared" si="24"/>
        <v>20</v>
      </c>
      <c r="AH25" s="319">
        <v>0.56999999999999995</v>
      </c>
      <c r="AI25" s="321">
        <f t="shared" si="25"/>
        <v>20</v>
      </c>
      <c r="AJ25" s="384">
        <v>0.42499999999999999</v>
      </c>
      <c r="AK25" s="305">
        <f t="shared" si="26"/>
        <v>27</v>
      </c>
      <c r="AL25" s="319">
        <v>0.73</v>
      </c>
      <c r="AM25" s="321">
        <f t="shared" si="27"/>
        <v>18</v>
      </c>
      <c r="AN25" s="384">
        <f t="shared" si="44"/>
        <v>23.5</v>
      </c>
      <c r="AO25" s="305">
        <f t="shared" si="29"/>
        <v>25</v>
      </c>
      <c r="AP25" s="319">
        <f t="shared" si="30"/>
        <v>19</v>
      </c>
      <c r="AQ25" s="307">
        <f t="shared" si="31"/>
        <v>21</v>
      </c>
      <c r="AR25" s="384">
        <v>-7.0000000000000007E-2</v>
      </c>
      <c r="AS25" s="305">
        <f t="shared" si="32"/>
        <v>24</v>
      </c>
      <c r="AT25" s="319">
        <v>-0.13</v>
      </c>
      <c r="AU25" s="307">
        <f t="shared" si="33"/>
        <v>23</v>
      </c>
      <c r="AV25" s="384">
        <v>-0.43</v>
      </c>
      <c r="AW25" s="305">
        <f t="shared" si="34"/>
        <v>23</v>
      </c>
      <c r="AX25" s="319">
        <v>-0.36</v>
      </c>
      <c r="AY25" s="307">
        <f t="shared" si="35"/>
        <v>21</v>
      </c>
      <c r="AZ25" s="384">
        <f t="shared" si="36"/>
        <v>23.5</v>
      </c>
      <c r="BA25" s="305">
        <f t="shared" si="37"/>
        <v>24</v>
      </c>
      <c r="BB25" s="319">
        <f t="shared" si="38"/>
        <v>22</v>
      </c>
      <c r="BC25" s="321">
        <f t="shared" si="39"/>
        <v>22</v>
      </c>
      <c r="BD25" s="384" cm="1">
        <f t="array" aca="1" ref="BD25" ca="1">SUMPRODUCT(--($D$7:$BC$7=BD$7),$D$3:$BC$3,$D25:$BC25)</f>
        <v>22.388888888888889</v>
      </c>
      <c r="BE25" s="305">
        <f t="shared" ca="1" si="40"/>
        <v>25</v>
      </c>
      <c r="BF25" s="319" cm="1">
        <f t="array" aca="1" ref="BF25" ca="1">ROUNDUP(SUMPRODUCT(--($D$7:$BC$7=BF$7),$D$3:$BC$3,$D25:$BC25),3)</f>
        <v>21.278000000000002</v>
      </c>
      <c r="BG25" s="321">
        <f t="shared" ca="1" si="41"/>
        <v>22</v>
      </c>
      <c r="BH25" s="451">
        <f t="shared" ca="1" si="42"/>
        <v>3</v>
      </c>
      <c r="BI25" s="316" t="s">
        <v>344</v>
      </c>
      <c r="BJ25" s="322" t="s">
        <v>40</v>
      </c>
    </row>
    <row r="26" spans="2:62" s="445" customFormat="1" ht="12.95" customHeight="1">
      <c r="B26" s="323" t="s">
        <v>40</v>
      </c>
      <c r="C26" s="324" t="s">
        <v>32</v>
      </c>
      <c r="D26" s="387">
        <v>90.51</v>
      </c>
      <c r="E26" s="326">
        <f t="shared" si="9"/>
        <v>15</v>
      </c>
      <c r="F26" s="331">
        <v>129</v>
      </c>
      <c r="G26" s="333">
        <f t="shared" si="10"/>
        <v>7</v>
      </c>
      <c r="H26" s="414">
        <v>1321.6469172764027</v>
      </c>
      <c r="I26" s="415">
        <f t="shared" si="11"/>
        <v>30</v>
      </c>
      <c r="J26" s="327">
        <v>841.3</v>
      </c>
      <c r="K26" s="333">
        <f t="shared" si="12"/>
        <v>30</v>
      </c>
      <c r="L26" s="325">
        <v>800</v>
      </c>
      <c r="M26" s="416">
        <f t="shared" si="13"/>
        <v>12</v>
      </c>
      <c r="N26" s="327">
        <v>688</v>
      </c>
      <c r="O26" s="333">
        <f t="shared" si="14"/>
        <v>13</v>
      </c>
      <c r="P26" s="332">
        <v>28.1</v>
      </c>
      <c r="Q26" s="326">
        <f t="shared" si="15"/>
        <v>27</v>
      </c>
      <c r="R26" s="417">
        <v>28.1</v>
      </c>
      <c r="S26" s="418">
        <f t="shared" si="16"/>
        <v>27</v>
      </c>
      <c r="T26" s="387">
        <v>44.2</v>
      </c>
      <c r="U26" s="326">
        <f t="shared" si="17"/>
        <v>21</v>
      </c>
      <c r="V26" s="331">
        <v>44.2</v>
      </c>
      <c r="W26" s="328">
        <f t="shared" si="18"/>
        <v>21</v>
      </c>
      <c r="X26" s="332">
        <v>9.42</v>
      </c>
      <c r="Y26" s="326">
        <f t="shared" si="19"/>
        <v>11</v>
      </c>
      <c r="Z26" s="419">
        <v>9.14</v>
      </c>
      <c r="AA26" s="418">
        <f t="shared" si="20"/>
        <v>12</v>
      </c>
      <c r="AB26" s="387">
        <f t="shared" si="43"/>
        <v>19.333333333333332</v>
      </c>
      <c r="AC26" s="416">
        <f t="shared" si="8"/>
        <v>23</v>
      </c>
      <c r="AD26" s="331">
        <f t="shared" si="22"/>
        <v>18.333333333333332</v>
      </c>
      <c r="AE26" s="333">
        <f t="shared" si="23"/>
        <v>20</v>
      </c>
      <c r="AF26" s="387">
        <v>0.67</v>
      </c>
      <c r="AG26" s="416">
        <f t="shared" si="24"/>
        <v>12</v>
      </c>
      <c r="AH26" s="331">
        <v>0.67</v>
      </c>
      <c r="AI26" s="333">
        <f t="shared" si="25"/>
        <v>13</v>
      </c>
      <c r="AJ26" s="387">
        <v>0.40500000000000003</v>
      </c>
      <c r="AK26" s="326">
        <f t="shared" si="26"/>
        <v>24</v>
      </c>
      <c r="AL26" s="331">
        <v>0.82299999999999995</v>
      </c>
      <c r="AM26" s="333">
        <f t="shared" si="27"/>
        <v>7</v>
      </c>
      <c r="AN26" s="387">
        <f t="shared" si="44"/>
        <v>18</v>
      </c>
      <c r="AO26" s="326">
        <f t="shared" si="29"/>
        <v>18</v>
      </c>
      <c r="AP26" s="331">
        <f t="shared" si="30"/>
        <v>10</v>
      </c>
      <c r="AQ26" s="328">
        <f t="shared" si="31"/>
        <v>8</v>
      </c>
      <c r="AR26" s="387">
        <v>-0.02</v>
      </c>
      <c r="AS26" s="326">
        <f t="shared" si="32"/>
        <v>23</v>
      </c>
      <c r="AT26" s="331">
        <v>-0.13</v>
      </c>
      <c r="AU26" s="328">
        <f t="shared" si="33"/>
        <v>23</v>
      </c>
      <c r="AV26" s="387">
        <v>0.02</v>
      </c>
      <c r="AW26" s="326">
        <f t="shared" si="34"/>
        <v>18</v>
      </c>
      <c r="AX26" s="331">
        <v>-0.32</v>
      </c>
      <c r="AY26" s="328">
        <f t="shared" si="35"/>
        <v>19</v>
      </c>
      <c r="AZ26" s="387">
        <f t="shared" si="36"/>
        <v>20.5</v>
      </c>
      <c r="BA26" s="326">
        <f t="shared" si="37"/>
        <v>21</v>
      </c>
      <c r="BB26" s="331">
        <f t="shared" si="38"/>
        <v>21</v>
      </c>
      <c r="BC26" s="333">
        <f t="shared" si="39"/>
        <v>21</v>
      </c>
      <c r="BD26" s="387" cm="1">
        <f t="array" aca="1" ref="BD26" ca="1">SUMPRODUCT(--($D$7:$BC$7=BD$7),$D$3:$BC$3,$D26:$BC26)</f>
        <v>19.277777777777775</v>
      </c>
      <c r="BE26" s="326">
        <f t="shared" ca="1" si="40"/>
        <v>19</v>
      </c>
      <c r="BF26" s="331" cm="1">
        <f t="array" aca="1" ref="BF26" ca="1">ROUNDUP(SUMPRODUCT(--($D$7:$BC$7=BF$7),$D$3:$BC$3,$D26:$BC26),3)</f>
        <v>16.445</v>
      </c>
      <c r="BG26" s="333">
        <f t="shared" ca="1" si="41"/>
        <v>17</v>
      </c>
      <c r="BH26" s="451">
        <f t="shared" ca="1" si="42"/>
        <v>2</v>
      </c>
      <c r="BI26" s="324" t="s">
        <v>32</v>
      </c>
      <c r="BJ26" s="334" t="s">
        <v>40</v>
      </c>
    </row>
    <row r="27" spans="2:62" s="445" customFormat="1" ht="12.95" customHeight="1">
      <c r="B27" s="337" t="s">
        <v>56</v>
      </c>
      <c r="C27" s="302" t="s">
        <v>29</v>
      </c>
      <c r="D27" s="420">
        <v>94.57</v>
      </c>
      <c r="E27" s="421">
        <f t="shared" si="9"/>
        <v>13</v>
      </c>
      <c r="F27" s="309">
        <v>100.63</v>
      </c>
      <c r="G27" s="313">
        <f t="shared" si="10"/>
        <v>15</v>
      </c>
      <c r="H27" s="422">
        <v>328.17079190906765</v>
      </c>
      <c r="I27" s="351">
        <f t="shared" si="11"/>
        <v>7</v>
      </c>
      <c r="J27" s="306">
        <v>124.43</v>
      </c>
      <c r="K27" s="313">
        <f t="shared" si="12"/>
        <v>7</v>
      </c>
      <c r="L27" s="423">
        <v>280</v>
      </c>
      <c r="M27" s="424">
        <f t="shared" si="13"/>
        <v>14</v>
      </c>
      <c r="N27" s="306">
        <v>1950</v>
      </c>
      <c r="O27" s="313">
        <f t="shared" si="14"/>
        <v>11</v>
      </c>
      <c r="P27" s="425">
        <v>85.9</v>
      </c>
      <c r="Q27" s="421">
        <f t="shared" si="15"/>
        <v>5</v>
      </c>
      <c r="R27" s="405">
        <v>85.9</v>
      </c>
      <c r="S27" s="406">
        <f t="shared" si="16"/>
        <v>5</v>
      </c>
      <c r="T27" s="420">
        <v>52.5</v>
      </c>
      <c r="U27" s="421">
        <f t="shared" si="17"/>
        <v>16</v>
      </c>
      <c r="V27" s="309">
        <v>52.5</v>
      </c>
      <c r="W27" s="312">
        <f t="shared" si="18"/>
        <v>16</v>
      </c>
      <c r="X27" s="425">
        <v>18.989999999999998</v>
      </c>
      <c r="Y27" s="421">
        <f t="shared" si="19"/>
        <v>21</v>
      </c>
      <c r="Z27" s="407">
        <v>19.170000000000002</v>
      </c>
      <c r="AA27" s="406">
        <f t="shared" si="20"/>
        <v>20</v>
      </c>
      <c r="AB27" s="420">
        <f t="shared" si="43"/>
        <v>12.666666666666666</v>
      </c>
      <c r="AC27" s="424">
        <f t="shared" si="8"/>
        <v>10</v>
      </c>
      <c r="AD27" s="309">
        <f t="shared" si="22"/>
        <v>12.333333333333334</v>
      </c>
      <c r="AE27" s="313">
        <f t="shared" si="23"/>
        <v>11</v>
      </c>
      <c r="AF27" s="420">
        <v>0.74</v>
      </c>
      <c r="AG27" s="424">
        <f t="shared" si="24"/>
        <v>8</v>
      </c>
      <c r="AH27" s="309">
        <v>0.72</v>
      </c>
      <c r="AI27" s="313">
        <f t="shared" si="25"/>
        <v>10</v>
      </c>
      <c r="AJ27" s="420">
        <v>6.9000000000000006E-2</v>
      </c>
      <c r="AK27" s="421">
        <f t="shared" si="26"/>
        <v>5</v>
      </c>
      <c r="AL27" s="309">
        <v>0.80600000000000005</v>
      </c>
      <c r="AM27" s="313">
        <f t="shared" si="27"/>
        <v>9</v>
      </c>
      <c r="AN27" s="420">
        <f t="shared" si="44"/>
        <v>6.5</v>
      </c>
      <c r="AO27" s="421">
        <f t="shared" si="29"/>
        <v>6</v>
      </c>
      <c r="AP27" s="309">
        <f t="shared" si="30"/>
        <v>9.5</v>
      </c>
      <c r="AQ27" s="312">
        <f t="shared" si="31"/>
        <v>7</v>
      </c>
      <c r="AR27" s="420">
        <v>1.6</v>
      </c>
      <c r="AS27" s="421">
        <f t="shared" si="32"/>
        <v>4</v>
      </c>
      <c r="AT27" s="309">
        <v>1.57</v>
      </c>
      <c r="AU27" s="312">
        <f t="shared" si="33"/>
        <v>4</v>
      </c>
      <c r="AV27" s="420">
        <v>1.65</v>
      </c>
      <c r="AW27" s="421">
        <f t="shared" si="34"/>
        <v>7</v>
      </c>
      <c r="AX27" s="309">
        <v>1.66</v>
      </c>
      <c r="AY27" s="312">
        <f t="shared" si="35"/>
        <v>6</v>
      </c>
      <c r="AZ27" s="420">
        <f t="shared" si="36"/>
        <v>5.5</v>
      </c>
      <c r="BA27" s="421">
        <f t="shared" si="37"/>
        <v>5</v>
      </c>
      <c r="BB27" s="309">
        <f t="shared" si="38"/>
        <v>5</v>
      </c>
      <c r="BC27" s="313">
        <f t="shared" si="39"/>
        <v>4</v>
      </c>
      <c r="BD27" s="420" cm="1">
        <f t="array" aca="1" ref="BD27" ca="1">SUMPRODUCT(--($D$7:$BC$7=BD$7),$D$3:$BC$3,$D27:$BC27)</f>
        <v>8.2222222222222214</v>
      </c>
      <c r="BE27" s="421">
        <f t="shared" ca="1" si="40"/>
        <v>6</v>
      </c>
      <c r="BF27" s="309" cm="1">
        <f t="array" aca="1" ref="BF27" ca="1">ROUNDUP(SUMPRODUCT(--($D$7:$BC$7=BF$7),$D$3:$BC$3,$D27:$BC27),3)</f>
        <v>8.9450000000000003</v>
      </c>
      <c r="BG27" s="313">
        <f t="shared" ca="1" si="41"/>
        <v>6</v>
      </c>
      <c r="BH27" s="451">
        <f t="shared" ca="1" si="42"/>
        <v>0</v>
      </c>
      <c r="BI27" s="302" t="s">
        <v>29</v>
      </c>
      <c r="BJ27" s="338" t="s">
        <v>56</v>
      </c>
    </row>
    <row r="28" spans="2:62" s="445" customFormat="1" ht="12.95" customHeight="1">
      <c r="B28" s="339" t="s">
        <v>56</v>
      </c>
      <c r="C28" s="316" t="s">
        <v>12</v>
      </c>
      <c r="D28" s="384">
        <v>86.75</v>
      </c>
      <c r="E28" s="305">
        <f t="shared" si="9"/>
        <v>17</v>
      </c>
      <c r="F28" s="319">
        <v>73.45</v>
      </c>
      <c r="G28" s="321">
        <f t="shared" si="10"/>
        <v>24</v>
      </c>
      <c r="H28" s="408">
        <v>600.94756243892186</v>
      </c>
      <c r="I28" s="409">
        <f t="shared" si="11"/>
        <v>18</v>
      </c>
      <c r="J28" s="318">
        <v>472.21</v>
      </c>
      <c r="K28" s="321">
        <f t="shared" si="12"/>
        <v>18</v>
      </c>
      <c r="L28" s="317">
        <v>97.24</v>
      </c>
      <c r="M28" s="410">
        <f t="shared" si="13"/>
        <v>16</v>
      </c>
      <c r="N28" s="318">
        <v>176</v>
      </c>
      <c r="O28" s="321">
        <f t="shared" si="14"/>
        <v>16</v>
      </c>
      <c r="P28" s="311">
        <v>40.9</v>
      </c>
      <c r="Q28" s="305">
        <f t="shared" si="15"/>
        <v>21</v>
      </c>
      <c r="R28" s="411">
        <v>40.9</v>
      </c>
      <c r="S28" s="412">
        <f t="shared" si="16"/>
        <v>21</v>
      </c>
      <c r="T28" s="384">
        <v>53.7</v>
      </c>
      <c r="U28" s="305">
        <f t="shared" si="17"/>
        <v>14</v>
      </c>
      <c r="V28" s="319">
        <v>53.7</v>
      </c>
      <c r="W28" s="307">
        <f t="shared" si="18"/>
        <v>14</v>
      </c>
      <c r="X28" s="311">
        <v>37.549999999999997</v>
      </c>
      <c r="Y28" s="305">
        <f t="shared" si="19"/>
        <v>27</v>
      </c>
      <c r="Z28" s="413">
        <v>38.17</v>
      </c>
      <c r="AA28" s="412">
        <f t="shared" si="20"/>
        <v>27</v>
      </c>
      <c r="AB28" s="384">
        <f t="shared" si="43"/>
        <v>18.833333333333332</v>
      </c>
      <c r="AC28" s="410">
        <f t="shared" si="8"/>
        <v>21</v>
      </c>
      <c r="AD28" s="319">
        <f t="shared" si="22"/>
        <v>20</v>
      </c>
      <c r="AE28" s="321">
        <f t="shared" si="23"/>
        <v>23</v>
      </c>
      <c r="AF28" s="384">
        <v>0.49</v>
      </c>
      <c r="AG28" s="410">
        <f t="shared" si="24"/>
        <v>25</v>
      </c>
      <c r="AH28" s="319">
        <v>0.48</v>
      </c>
      <c r="AI28" s="321">
        <f t="shared" si="25"/>
        <v>26</v>
      </c>
      <c r="AJ28" s="384">
        <v>0.309</v>
      </c>
      <c r="AK28" s="305">
        <f t="shared" si="26"/>
        <v>21</v>
      </c>
      <c r="AL28" s="319">
        <v>0.80300000000000005</v>
      </c>
      <c r="AM28" s="321">
        <f t="shared" si="27"/>
        <v>10</v>
      </c>
      <c r="AN28" s="384">
        <f t="shared" si="44"/>
        <v>23</v>
      </c>
      <c r="AO28" s="305">
        <f t="shared" si="29"/>
        <v>22</v>
      </c>
      <c r="AP28" s="319">
        <f t="shared" si="30"/>
        <v>18</v>
      </c>
      <c r="AQ28" s="307">
        <f t="shared" si="31"/>
        <v>20</v>
      </c>
      <c r="AR28" s="384">
        <v>-0.31</v>
      </c>
      <c r="AS28" s="305">
        <f t="shared" si="32"/>
        <v>26</v>
      </c>
      <c r="AT28" s="319">
        <v>-0.28000000000000003</v>
      </c>
      <c r="AU28" s="307">
        <f t="shared" si="33"/>
        <v>26</v>
      </c>
      <c r="AV28" s="384">
        <v>-1</v>
      </c>
      <c r="AW28" s="305">
        <f t="shared" si="34"/>
        <v>29</v>
      </c>
      <c r="AX28" s="319">
        <v>-1.01</v>
      </c>
      <c r="AY28" s="307">
        <f t="shared" si="35"/>
        <v>29</v>
      </c>
      <c r="AZ28" s="384">
        <f t="shared" si="36"/>
        <v>27.5</v>
      </c>
      <c r="BA28" s="305">
        <f t="shared" si="37"/>
        <v>28</v>
      </c>
      <c r="BB28" s="319">
        <f t="shared" si="38"/>
        <v>27.5</v>
      </c>
      <c r="BC28" s="321">
        <f t="shared" si="39"/>
        <v>27</v>
      </c>
      <c r="BD28" s="384" cm="1">
        <f t="array" aca="1" ref="BD28" ca="1">SUMPRODUCT(--($D$7:$BC$7=BD$7),$D$3:$BC$3,$D28:$BC28)</f>
        <v>23.111111111111107</v>
      </c>
      <c r="BE28" s="305">
        <f t="shared" ca="1" si="40"/>
        <v>27</v>
      </c>
      <c r="BF28" s="319" cm="1">
        <f t="array" aca="1" ref="BF28" ca="1">ROUNDUP(SUMPRODUCT(--($D$7:$BC$7=BF$7),$D$3:$BC$3,$D28:$BC28),3)</f>
        <v>21.834</v>
      </c>
      <c r="BG28" s="321">
        <f t="shared" ca="1" si="41"/>
        <v>24</v>
      </c>
      <c r="BH28" s="451">
        <f t="shared" ca="1" si="42"/>
        <v>3</v>
      </c>
      <c r="BI28" s="316" t="s">
        <v>12</v>
      </c>
      <c r="BJ28" s="340" t="s">
        <v>56</v>
      </c>
    </row>
    <row r="29" spans="2:62" s="445" customFormat="1" ht="12.95" customHeight="1">
      <c r="B29" s="341" t="s">
        <v>56</v>
      </c>
      <c r="C29" s="324" t="s">
        <v>345</v>
      </c>
      <c r="D29" s="387">
        <v>77.45</v>
      </c>
      <c r="E29" s="326">
        <f t="shared" si="9"/>
        <v>19</v>
      </c>
      <c r="F29" s="331">
        <v>129.6</v>
      </c>
      <c r="G29" s="333">
        <f t="shared" si="10"/>
        <v>6</v>
      </c>
      <c r="H29" s="414">
        <v>513.50864588478532</v>
      </c>
      <c r="I29" s="415">
        <f t="shared" si="11"/>
        <v>15</v>
      </c>
      <c r="J29" s="327">
        <v>420.18</v>
      </c>
      <c r="K29" s="333">
        <f t="shared" si="12"/>
        <v>16</v>
      </c>
      <c r="L29" s="325">
        <v>0</v>
      </c>
      <c r="M29" s="416">
        <f t="shared" si="13"/>
        <v>18</v>
      </c>
      <c r="N29" s="327">
        <v>0</v>
      </c>
      <c r="O29" s="333">
        <f t="shared" si="14"/>
        <v>25</v>
      </c>
      <c r="P29" s="332">
        <v>76.8</v>
      </c>
      <c r="Q29" s="326">
        <f t="shared" si="15"/>
        <v>10</v>
      </c>
      <c r="R29" s="417">
        <v>76.8</v>
      </c>
      <c r="S29" s="418">
        <f t="shared" si="16"/>
        <v>10</v>
      </c>
      <c r="T29" s="387">
        <v>51.4</v>
      </c>
      <c r="U29" s="326">
        <f t="shared" si="17"/>
        <v>17</v>
      </c>
      <c r="V29" s="331">
        <v>51.4</v>
      </c>
      <c r="W29" s="328">
        <f t="shared" si="18"/>
        <v>17</v>
      </c>
      <c r="X29" s="332">
        <v>22.73</v>
      </c>
      <c r="Y29" s="326">
        <f t="shared" si="19"/>
        <v>24</v>
      </c>
      <c r="Z29" s="419">
        <v>22.47</v>
      </c>
      <c r="AA29" s="418">
        <f t="shared" si="20"/>
        <v>24</v>
      </c>
      <c r="AB29" s="387">
        <f t="shared" si="43"/>
        <v>17.166666666666668</v>
      </c>
      <c r="AC29" s="416">
        <f t="shared" si="8"/>
        <v>18</v>
      </c>
      <c r="AD29" s="331">
        <f t="shared" si="22"/>
        <v>16.333333333333332</v>
      </c>
      <c r="AE29" s="333">
        <f t="shared" si="23"/>
        <v>15</v>
      </c>
      <c r="AF29" s="387">
        <v>0.56000000000000005</v>
      </c>
      <c r="AG29" s="416">
        <f t="shared" si="24"/>
        <v>20</v>
      </c>
      <c r="AH29" s="331">
        <v>0.55000000000000004</v>
      </c>
      <c r="AI29" s="333">
        <f t="shared" si="25"/>
        <v>21</v>
      </c>
      <c r="AJ29" s="387">
        <v>0.17899999999999999</v>
      </c>
      <c r="AK29" s="326">
        <f t="shared" si="26"/>
        <v>13</v>
      </c>
      <c r="AL29" s="331">
        <v>0.78700000000000003</v>
      </c>
      <c r="AM29" s="333">
        <f t="shared" si="27"/>
        <v>12</v>
      </c>
      <c r="AN29" s="387">
        <f t="shared" si="44"/>
        <v>16.5</v>
      </c>
      <c r="AO29" s="326">
        <f t="shared" si="29"/>
        <v>16</v>
      </c>
      <c r="AP29" s="331">
        <f t="shared" si="30"/>
        <v>16.5</v>
      </c>
      <c r="AQ29" s="328">
        <f t="shared" si="31"/>
        <v>16</v>
      </c>
      <c r="AR29" s="387">
        <v>1.34</v>
      </c>
      <c r="AS29" s="326">
        <f t="shared" si="32"/>
        <v>8</v>
      </c>
      <c r="AT29" s="331">
        <v>1.26</v>
      </c>
      <c r="AU29" s="328">
        <f t="shared" si="33"/>
        <v>9</v>
      </c>
      <c r="AV29" s="387">
        <v>1.05</v>
      </c>
      <c r="AW29" s="326">
        <f t="shared" si="34"/>
        <v>10</v>
      </c>
      <c r="AX29" s="331">
        <v>1.1000000000000001</v>
      </c>
      <c r="AY29" s="328">
        <f t="shared" si="35"/>
        <v>10</v>
      </c>
      <c r="AZ29" s="387">
        <f t="shared" si="36"/>
        <v>9</v>
      </c>
      <c r="BA29" s="326">
        <f t="shared" si="37"/>
        <v>9</v>
      </c>
      <c r="BB29" s="331">
        <f t="shared" si="38"/>
        <v>9.5</v>
      </c>
      <c r="BC29" s="333">
        <f t="shared" si="39"/>
        <v>9</v>
      </c>
      <c r="BD29" s="387" cm="1">
        <f t="array" aca="1" ref="BD29" ca="1">SUMPRODUCT(--($D$7:$BC$7=BD$7),$D$3:$BC$3,$D29:$BC29)</f>
        <v>14.222222222222221</v>
      </c>
      <c r="BE29" s="326">
        <f t="shared" ca="1" si="40"/>
        <v>16</v>
      </c>
      <c r="BF29" s="331" cm="1">
        <f t="array" aca="1" ref="BF29" ca="1">ROUNDUP(SUMPRODUCT(--($D$7:$BC$7=BF$7),$D$3:$BC$3,$D29:$BC29),3)</f>
        <v>14.112</v>
      </c>
      <c r="BG29" s="333">
        <f t="shared" ca="1" si="41"/>
        <v>15</v>
      </c>
      <c r="BH29" s="451">
        <f t="shared" ca="1" si="42"/>
        <v>1</v>
      </c>
      <c r="BI29" s="324" t="s">
        <v>345</v>
      </c>
      <c r="BJ29" s="342" t="s">
        <v>56</v>
      </c>
    </row>
    <row r="30" spans="2:62" s="445" customFormat="1" ht="12.95" customHeight="1">
      <c r="B30" s="301" t="s">
        <v>86</v>
      </c>
      <c r="C30" s="302" t="s">
        <v>59</v>
      </c>
      <c r="D30" s="381">
        <v>102.63</v>
      </c>
      <c r="E30" s="304">
        <f t="shared" si="9"/>
        <v>7</v>
      </c>
      <c r="F30" s="309">
        <v>104.55</v>
      </c>
      <c r="G30" s="313">
        <f t="shared" si="10"/>
        <v>13</v>
      </c>
      <c r="H30" s="402">
        <v>458.72530076301427</v>
      </c>
      <c r="I30" s="403">
        <f t="shared" si="11"/>
        <v>12</v>
      </c>
      <c r="J30" s="306">
        <v>361.16</v>
      </c>
      <c r="K30" s="313">
        <f t="shared" si="12"/>
        <v>13</v>
      </c>
      <c r="L30" s="303">
        <v>50</v>
      </c>
      <c r="M30" s="404">
        <f t="shared" si="13"/>
        <v>17</v>
      </c>
      <c r="N30" s="306">
        <v>120</v>
      </c>
      <c r="O30" s="313">
        <f t="shared" si="14"/>
        <v>19</v>
      </c>
      <c r="P30" s="336">
        <v>56.3</v>
      </c>
      <c r="Q30" s="304">
        <f t="shared" si="15"/>
        <v>15</v>
      </c>
      <c r="R30" s="405">
        <v>56.3</v>
      </c>
      <c r="S30" s="406">
        <f t="shared" si="16"/>
        <v>15</v>
      </c>
      <c r="T30" s="381">
        <v>38.9</v>
      </c>
      <c r="U30" s="304">
        <f t="shared" si="17"/>
        <v>22</v>
      </c>
      <c r="V30" s="309">
        <v>38.9</v>
      </c>
      <c r="W30" s="312">
        <f t="shared" si="18"/>
        <v>22</v>
      </c>
      <c r="X30" s="336">
        <v>15.61</v>
      </c>
      <c r="Y30" s="304">
        <f t="shared" si="19"/>
        <v>18</v>
      </c>
      <c r="Z30" s="407">
        <v>14.88</v>
      </c>
      <c r="AA30" s="406">
        <f t="shared" si="20"/>
        <v>18</v>
      </c>
      <c r="AB30" s="381">
        <f t="shared" si="43"/>
        <v>15.166666666666666</v>
      </c>
      <c r="AC30" s="404">
        <f t="shared" si="8"/>
        <v>15</v>
      </c>
      <c r="AD30" s="309">
        <f t="shared" si="22"/>
        <v>16.666666666666668</v>
      </c>
      <c r="AE30" s="313">
        <f t="shared" si="23"/>
        <v>18</v>
      </c>
      <c r="AF30" s="381">
        <v>0.65</v>
      </c>
      <c r="AG30" s="404">
        <f t="shared" si="24"/>
        <v>16</v>
      </c>
      <c r="AH30" s="309">
        <v>0.65</v>
      </c>
      <c r="AI30" s="313">
        <f t="shared" si="25"/>
        <v>16</v>
      </c>
      <c r="AJ30" s="381">
        <v>0.28699999999999998</v>
      </c>
      <c r="AK30" s="304">
        <f t="shared" si="26"/>
        <v>19</v>
      </c>
      <c r="AL30" s="309">
        <v>0.76</v>
      </c>
      <c r="AM30" s="313">
        <f t="shared" si="27"/>
        <v>15</v>
      </c>
      <c r="AN30" s="381">
        <f t="shared" si="44"/>
        <v>17.5</v>
      </c>
      <c r="AO30" s="304">
        <f t="shared" si="29"/>
        <v>17</v>
      </c>
      <c r="AP30" s="309">
        <f t="shared" si="30"/>
        <v>15.5</v>
      </c>
      <c r="AQ30" s="312">
        <f t="shared" si="31"/>
        <v>15</v>
      </c>
      <c r="AR30" s="381">
        <v>-0.36</v>
      </c>
      <c r="AS30" s="304">
        <f t="shared" si="32"/>
        <v>27</v>
      </c>
      <c r="AT30" s="309">
        <v>-0.28000000000000003</v>
      </c>
      <c r="AU30" s="312">
        <f t="shared" si="33"/>
        <v>26</v>
      </c>
      <c r="AV30" s="381">
        <v>-0.4</v>
      </c>
      <c r="AW30" s="304">
        <f t="shared" si="34"/>
        <v>22</v>
      </c>
      <c r="AX30" s="309">
        <v>-0.45</v>
      </c>
      <c r="AY30" s="312">
        <f t="shared" si="35"/>
        <v>23</v>
      </c>
      <c r="AZ30" s="381">
        <f t="shared" si="36"/>
        <v>24.5</v>
      </c>
      <c r="BA30" s="304">
        <f t="shared" si="37"/>
        <v>25</v>
      </c>
      <c r="BB30" s="309">
        <f t="shared" si="38"/>
        <v>24.5</v>
      </c>
      <c r="BC30" s="313">
        <f t="shared" si="39"/>
        <v>25</v>
      </c>
      <c r="BD30" s="381" cm="1">
        <f t="array" aca="1" ref="BD30" ca="1">SUMPRODUCT(--($D$7:$BC$7=BD$7),$D$3:$BC$3,$D30:$BC30)</f>
        <v>19.055555555555557</v>
      </c>
      <c r="BE30" s="304">
        <f t="shared" ca="1" si="40"/>
        <v>18</v>
      </c>
      <c r="BF30" s="309" cm="1">
        <f t="array" aca="1" ref="BF30" ca="1">ROUNDUP(SUMPRODUCT(--($D$7:$BC$7=BF$7),$D$3:$BC$3,$D30:$BC30),3)</f>
        <v>18.889000000000003</v>
      </c>
      <c r="BG30" s="313">
        <f t="shared" ca="1" si="41"/>
        <v>18</v>
      </c>
      <c r="BH30" s="451">
        <f t="shared" ca="1" si="42"/>
        <v>0</v>
      </c>
      <c r="BI30" s="302" t="s">
        <v>59</v>
      </c>
      <c r="BJ30" s="314" t="s">
        <v>86</v>
      </c>
    </row>
    <row r="31" spans="2:62" s="445" customFormat="1" ht="12.95" customHeight="1">
      <c r="B31" s="315" t="s">
        <v>86</v>
      </c>
      <c r="C31" s="316" t="s">
        <v>346</v>
      </c>
      <c r="D31" s="384">
        <v>43.93</v>
      </c>
      <c r="E31" s="305">
        <f t="shared" si="9"/>
        <v>28</v>
      </c>
      <c r="F31" s="319">
        <v>46.93</v>
      </c>
      <c r="G31" s="321">
        <f t="shared" si="10"/>
        <v>28</v>
      </c>
      <c r="H31" s="408">
        <v>606.68151447661467</v>
      </c>
      <c r="I31" s="409">
        <f t="shared" si="11"/>
        <v>19</v>
      </c>
      <c r="J31" s="318">
        <v>327.48</v>
      </c>
      <c r="K31" s="321">
        <f t="shared" si="12"/>
        <v>12</v>
      </c>
      <c r="L31" s="317">
        <v>0</v>
      </c>
      <c r="M31" s="410">
        <f t="shared" si="13"/>
        <v>18</v>
      </c>
      <c r="N31" s="318">
        <v>0</v>
      </c>
      <c r="O31" s="321">
        <f t="shared" si="14"/>
        <v>25</v>
      </c>
      <c r="P31" s="311">
        <v>35.799999999999997</v>
      </c>
      <c r="Q31" s="305">
        <f t="shared" si="15"/>
        <v>22</v>
      </c>
      <c r="R31" s="411">
        <v>35.799999999999997</v>
      </c>
      <c r="S31" s="412">
        <f t="shared" si="16"/>
        <v>22</v>
      </c>
      <c r="T31" s="384">
        <v>52.9</v>
      </c>
      <c r="U31" s="305">
        <f t="shared" si="17"/>
        <v>15</v>
      </c>
      <c r="V31" s="319">
        <v>52.9</v>
      </c>
      <c r="W31" s="307">
        <f t="shared" si="18"/>
        <v>15</v>
      </c>
      <c r="X31" s="311">
        <v>13</v>
      </c>
      <c r="Y31" s="305">
        <f t="shared" si="19"/>
        <v>16</v>
      </c>
      <c r="Z31" s="413">
        <v>2.98</v>
      </c>
      <c r="AA31" s="412">
        <f t="shared" si="20"/>
        <v>7</v>
      </c>
      <c r="AB31" s="384">
        <f t="shared" si="43"/>
        <v>19.666666666666668</v>
      </c>
      <c r="AC31" s="410">
        <f t="shared" si="8"/>
        <v>24</v>
      </c>
      <c r="AD31" s="319">
        <f t="shared" si="22"/>
        <v>18.166666666666668</v>
      </c>
      <c r="AE31" s="321">
        <f t="shared" si="23"/>
        <v>19</v>
      </c>
      <c r="AF31" s="384">
        <v>0.52</v>
      </c>
      <c r="AG31" s="410">
        <f t="shared" si="24"/>
        <v>22</v>
      </c>
      <c r="AH31" s="319">
        <v>0.5</v>
      </c>
      <c r="AI31" s="321">
        <f t="shared" si="25"/>
        <v>24</v>
      </c>
      <c r="AJ31" s="384">
        <v>0.41799999999999998</v>
      </c>
      <c r="AK31" s="305">
        <f t="shared" si="26"/>
        <v>25</v>
      </c>
      <c r="AL31" s="319">
        <v>0.82899999999999996</v>
      </c>
      <c r="AM31" s="321">
        <f t="shared" si="27"/>
        <v>6</v>
      </c>
      <c r="AN31" s="384">
        <f t="shared" si="44"/>
        <v>23.5</v>
      </c>
      <c r="AO31" s="305">
        <f t="shared" si="29"/>
        <v>25</v>
      </c>
      <c r="AP31" s="319">
        <f t="shared" si="30"/>
        <v>15</v>
      </c>
      <c r="AQ31" s="307">
        <f t="shared" si="31"/>
        <v>13</v>
      </c>
      <c r="AR31" s="384">
        <v>-0.73</v>
      </c>
      <c r="AS31" s="305">
        <f t="shared" si="32"/>
        <v>29</v>
      </c>
      <c r="AT31" s="319">
        <v>-0.56000000000000005</v>
      </c>
      <c r="AU31" s="307">
        <f t="shared" si="33"/>
        <v>28</v>
      </c>
      <c r="AV31" s="384">
        <v>-0.86</v>
      </c>
      <c r="AW31" s="305">
        <f t="shared" si="34"/>
        <v>28</v>
      </c>
      <c r="AX31" s="319">
        <v>-0.89</v>
      </c>
      <c r="AY31" s="307">
        <f t="shared" si="35"/>
        <v>28</v>
      </c>
      <c r="AZ31" s="384">
        <f t="shared" si="36"/>
        <v>28.5</v>
      </c>
      <c r="BA31" s="305">
        <f t="shared" si="37"/>
        <v>29</v>
      </c>
      <c r="BB31" s="319">
        <f t="shared" si="38"/>
        <v>28</v>
      </c>
      <c r="BC31" s="321">
        <f t="shared" si="39"/>
        <v>28</v>
      </c>
      <c r="BD31" s="384" cm="1">
        <f t="array" aca="1" ref="BD31" ca="1">SUMPRODUCT(--($D$7:$BC$7=BD$7),$D$3:$BC$3,$D31:$BC31)</f>
        <v>23.888888888888889</v>
      </c>
      <c r="BE31" s="305">
        <f t="shared" ca="1" si="40"/>
        <v>28</v>
      </c>
      <c r="BF31" s="319" cm="1">
        <f t="array" aca="1" ref="BF31" ca="1">ROUNDUP(SUMPRODUCT(--($D$7:$BC$7=BF$7),$D$3:$BC$3,$D31:$BC31),3)</f>
        <v>20.389000000000003</v>
      </c>
      <c r="BG31" s="321">
        <f t="shared" ca="1" si="41"/>
        <v>21</v>
      </c>
      <c r="BH31" s="451">
        <f t="shared" ca="1" si="42"/>
        <v>7</v>
      </c>
      <c r="BI31" s="316" t="s">
        <v>346</v>
      </c>
      <c r="BJ31" s="322" t="s">
        <v>86</v>
      </c>
    </row>
    <row r="32" spans="2:62" s="445" customFormat="1" ht="12.95" customHeight="1">
      <c r="B32" s="315" t="s">
        <v>86</v>
      </c>
      <c r="C32" s="316" t="s">
        <v>11</v>
      </c>
      <c r="D32" s="384">
        <v>102.33</v>
      </c>
      <c r="E32" s="305">
        <f t="shared" si="9"/>
        <v>8</v>
      </c>
      <c r="F32" s="319">
        <v>88.53</v>
      </c>
      <c r="G32" s="321">
        <f t="shared" si="10"/>
        <v>20</v>
      </c>
      <c r="H32" s="408">
        <v>135.32833009199706</v>
      </c>
      <c r="I32" s="409">
        <f t="shared" si="11"/>
        <v>5</v>
      </c>
      <c r="J32" s="318">
        <v>62.08</v>
      </c>
      <c r="K32" s="321">
        <f t="shared" si="12"/>
        <v>5</v>
      </c>
      <c r="L32" s="317">
        <v>0</v>
      </c>
      <c r="M32" s="410">
        <f t="shared" si="13"/>
        <v>18</v>
      </c>
      <c r="N32" s="318">
        <v>25</v>
      </c>
      <c r="O32" s="321">
        <f t="shared" si="14"/>
        <v>22</v>
      </c>
      <c r="P32" s="311">
        <v>46</v>
      </c>
      <c r="Q32" s="305">
        <f t="shared" si="15"/>
        <v>19</v>
      </c>
      <c r="R32" s="411">
        <v>46</v>
      </c>
      <c r="S32" s="412">
        <f t="shared" si="16"/>
        <v>19</v>
      </c>
      <c r="T32" s="384">
        <v>55.2</v>
      </c>
      <c r="U32" s="305">
        <f t="shared" si="17"/>
        <v>13</v>
      </c>
      <c r="V32" s="319">
        <v>55.2</v>
      </c>
      <c r="W32" s="307">
        <f t="shared" si="18"/>
        <v>13</v>
      </c>
      <c r="X32" s="311">
        <v>12.15</v>
      </c>
      <c r="Y32" s="305">
        <f t="shared" si="19"/>
        <v>15</v>
      </c>
      <c r="Z32" s="413">
        <v>13.47</v>
      </c>
      <c r="AA32" s="412">
        <f t="shared" si="20"/>
        <v>16</v>
      </c>
      <c r="AB32" s="384">
        <f t="shared" si="43"/>
        <v>13</v>
      </c>
      <c r="AC32" s="410">
        <f t="shared" si="8"/>
        <v>11</v>
      </c>
      <c r="AD32" s="319">
        <f t="shared" si="22"/>
        <v>15.833333333333334</v>
      </c>
      <c r="AE32" s="321">
        <f t="shared" si="23"/>
        <v>14</v>
      </c>
      <c r="AF32" s="384">
        <v>0.45</v>
      </c>
      <c r="AG32" s="410">
        <f t="shared" si="24"/>
        <v>27</v>
      </c>
      <c r="AH32" s="319">
        <v>0.47</v>
      </c>
      <c r="AI32" s="321">
        <f t="shared" si="25"/>
        <v>28</v>
      </c>
      <c r="AJ32" s="384">
        <v>0.39</v>
      </c>
      <c r="AK32" s="305">
        <f t="shared" si="26"/>
        <v>23</v>
      </c>
      <c r="AL32" s="319">
        <v>0.68</v>
      </c>
      <c r="AM32" s="321">
        <f t="shared" si="27"/>
        <v>22</v>
      </c>
      <c r="AN32" s="384">
        <f t="shared" si="44"/>
        <v>25</v>
      </c>
      <c r="AO32" s="305">
        <f t="shared" si="29"/>
        <v>27</v>
      </c>
      <c r="AP32" s="319">
        <f t="shared" si="30"/>
        <v>25</v>
      </c>
      <c r="AQ32" s="307">
        <f t="shared" si="31"/>
        <v>27</v>
      </c>
      <c r="AR32" s="384">
        <v>-0.46</v>
      </c>
      <c r="AS32" s="305">
        <f t="shared" si="32"/>
        <v>28</v>
      </c>
      <c r="AT32" s="319">
        <v>-0.59</v>
      </c>
      <c r="AU32" s="307">
        <f t="shared" si="33"/>
        <v>29</v>
      </c>
      <c r="AV32" s="384">
        <v>-0.48</v>
      </c>
      <c r="AW32" s="305">
        <f t="shared" si="34"/>
        <v>26</v>
      </c>
      <c r="AX32" s="319">
        <v>-0.56999999999999995</v>
      </c>
      <c r="AY32" s="307">
        <f t="shared" si="35"/>
        <v>27</v>
      </c>
      <c r="AZ32" s="384">
        <f t="shared" si="36"/>
        <v>27</v>
      </c>
      <c r="BA32" s="305">
        <f t="shared" si="37"/>
        <v>27</v>
      </c>
      <c r="BB32" s="319">
        <f t="shared" si="38"/>
        <v>28</v>
      </c>
      <c r="BC32" s="321">
        <f t="shared" si="39"/>
        <v>28</v>
      </c>
      <c r="BD32" s="384" cm="1">
        <f t="array" aca="1" ref="BD32" ca="1">SUMPRODUCT(--($D$7:$BC$7=BD$7),$D$3:$BC$3,$D32:$BC32)</f>
        <v>21.666666666666664</v>
      </c>
      <c r="BE32" s="305">
        <f t="shared" ca="1" si="40"/>
        <v>22</v>
      </c>
      <c r="BF32" s="319" cm="1">
        <f t="array" aca="1" ref="BF32" ca="1">ROUNDUP(SUMPRODUCT(--($D$7:$BC$7=BF$7),$D$3:$BC$3,$D32:$BC32),3)</f>
        <v>22.945</v>
      </c>
      <c r="BG32" s="321">
        <f t="shared" ca="1" si="41"/>
        <v>27</v>
      </c>
      <c r="BH32" s="451">
        <f t="shared" ca="1" si="42"/>
        <v>-5</v>
      </c>
      <c r="BI32" s="316" t="s">
        <v>11</v>
      </c>
      <c r="BJ32" s="322" t="s">
        <v>86</v>
      </c>
    </row>
    <row r="33" spans="2:62" s="445" customFormat="1" ht="12.95" customHeight="1">
      <c r="B33" s="323" t="s">
        <v>86</v>
      </c>
      <c r="C33" s="324" t="s">
        <v>39</v>
      </c>
      <c r="D33" s="387">
        <v>105.15</v>
      </c>
      <c r="E33" s="326">
        <f t="shared" si="9"/>
        <v>5</v>
      </c>
      <c r="F33" s="331">
        <v>110.88</v>
      </c>
      <c r="G33" s="333">
        <f t="shared" si="10"/>
        <v>11</v>
      </c>
      <c r="H33" s="414">
        <v>464.24835672869557</v>
      </c>
      <c r="I33" s="415">
        <f t="shared" si="11"/>
        <v>13</v>
      </c>
      <c r="J33" s="327">
        <v>402.49</v>
      </c>
      <c r="K33" s="333">
        <f t="shared" si="12"/>
        <v>15</v>
      </c>
      <c r="L33" s="325">
        <v>0</v>
      </c>
      <c r="M33" s="416">
        <f t="shared" si="13"/>
        <v>18</v>
      </c>
      <c r="N33" s="327">
        <v>172</v>
      </c>
      <c r="O33" s="333">
        <f t="shared" si="14"/>
        <v>17</v>
      </c>
      <c r="P33" s="332">
        <v>58</v>
      </c>
      <c r="Q33" s="326">
        <f t="shared" si="15"/>
        <v>14</v>
      </c>
      <c r="R33" s="417">
        <v>58</v>
      </c>
      <c r="S33" s="418">
        <f t="shared" si="16"/>
        <v>14</v>
      </c>
      <c r="T33" s="387">
        <v>51.2</v>
      </c>
      <c r="U33" s="326">
        <f t="shared" si="17"/>
        <v>18</v>
      </c>
      <c r="V33" s="331">
        <v>51.2</v>
      </c>
      <c r="W33" s="328">
        <f t="shared" si="18"/>
        <v>18</v>
      </c>
      <c r="X33" s="332">
        <v>13.84</v>
      </c>
      <c r="Y33" s="326">
        <f t="shared" si="19"/>
        <v>17</v>
      </c>
      <c r="Z33" s="419">
        <v>14.06</v>
      </c>
      <c r="AA33" s="418">
        <f t="shared" si="20"/>
        <v>17</v>
      </c>
      <c r="AB33" s="387">
        <f t="shared" si="43"/>
        <v>14.166666666666666</v>
      </c>
      <c r="AC33" s="416">
        <f t="shared" si="8"/>
        <v>13</v>
      </c>
      <c r="AD33" s="331">
        <f t="shared" si="22"/>
        <v>15.333333333333334</v>
      </c>
      <c r="AE33" s="333">
        <f t="shared" si="23"/>
        <v>13</v>
      </c>
      <c r="AF33" s="387">
        <v>0.71</v>
      </c>
      <c r="AG33" s="416">
        <f t="shared" si="24"/>
        <v>10</v>
      </c>
      <c r="AH33" s="331">
        <v>0.73</v>
      </c>
      <c r="AI33" s="333">
        <f t="shared" si="25"/>
        <v>8</v>
      </c>
      <c r="AJ33" s="387">
        <v>0.187</v>
      </c>
      <c r="AK33" s="326">
        <f t="shared" si="26"/>
        <v>15</v>
      </c>
      <c r="AL33" s="331">
        <v>0.76</v>
      </c>
      <c r="AM33" s="333">
        <f t="shared" si="27"/>
        <v>15</v>
      </c>
      <c r="AN33" s="387">
        <f t="shared" si="44"/>
        <v>12.5</v>
      </c>
      <c r="AO33" s="326">
        <f t="shared" si="29"/>
        <v>14</v>
      </c>
      <c r="AP33" s="331">
        <f t="shared" si="30"/>
        <v>11.5</v>
      </c>
      <c r="AQ33" s="328">
        <f t="shared" si="31"/>
        <v>10</v>
      </c>
      <c r="AR33" s="387">
        <v>0.63</v>
      </c>
      <c r="AS33" s="326">
        <f t="shared" si="32"/>
        <v>14</v>
      </c>
      <c r="AT33" s="331">
        <v>0.55000000000000004</v>
      </c>
      <c r="AU33" s="328">
        <f t="shared" si="33"/>
        <v>13</v>
      </c>
      <c r="AV33" s="387">
        <v>0.98</v>
      </c>
      <c r="AW33" s="326">
        <f t="shared" si="34"/>
        <v>11</v>
      </c>
      <c r="AX33" s="331">
        <v>0.97</v>
      </c>
      <c r="AY33" s="328">
        <f t="shared" si="35"/>
        <v>11</v>
      </c>
      <c r="AZ33" s="387">
        <f t="shared" si="36"/>
        <v>12.5</v>
      </c>
      <c r="BA33" s="326">
        <f t="shared" si="37"/>
        <v>12</v>
      </c>
      <c r="BB33" s="331">
        <f t="shared" si="38"/>
        <v>12</v>
      </c>
      <c r="BC33" s="333">
        <f t="shared" si="39"/>
        <v>12</v>
      </c>
      <c r="BD33" s="387" cm="1">
        <f t="array" aca="1" ref="BD33" ca="1">SUMPRODUCT(--($D$7:$BC$7=BD$7),$D$3:$BC$3,$D33:$BC33)</f>
        <v>13.055555555555554</v>
      </c>
      <c r="BE33" s="326">
        <f t="shared" ca="1" si="40"/>
        <v>14</v>
      </c>
      <c r="BF33" s="331" cm="1">
        <f t="array" aca="1" ref="BF33" ca="1">ROUNDUP(SUMPRODUCT(--($D$7:$BC$7=BF$7),$D$3:$BC$3,$D33:$BC33),3)</f>
        <v>12.945</v>
      </c>
      <c r="BG33" s="333">
        <f t="shared" ca="1" si="41"/>
        <v>9</v>
      </c>
      <c r="BH33" s="451">
        <f t="shared" ca="1" si="42"/>
        <v>5</v>
      </c>
      <c r="BI33" s="324" t="s">
        <v>39</v>
      </c>
      <c r="BJ33" s="334" t="s">
        <v>86</v>
      </c>
    </row>
    <row r="34" spans="2:62" s="445" customFormat="1" ht="12.95" customHeight="1">
      <c r="B34" s="314" t="s">
        <v>89</v>
      </c>
      <c r="C34" s="343" t="s">
        <v>6</v>
      </c>
      <c r="D34" s="420">
        <v>115.13</v>
      </c>
      <c r="E34" s="421">
        <f t="shared" si="9"/>
        <v>2</v>
      </c>
      <c r="F34" s="309">
        <v>109.47</v>
      </c>
      <c r="G34" s="313">
        <f t="shared" si="10"/>
        <v>12</v>
      </c>
      <c r="H34" s="422">
        <v>635.3529339888895</v>
      </c>
      <c r="I34" s="351">
        <f t="shared" si="11"/>
        <v>23</v>
      </c>
      <c r="J34" s="306">
        <v>590.15</v>
      </c>
      <c r="K34" s="313">
        <f t="shared" si="12"/>
        <v>23</v>
      </c>
      <c r="L34" s="423">
        <v>295.2</v>
      </c>
      <c r="M34" s="424">
        <f t="shared" si="13"/>
        <v>13</v>
      </c>
      <c r="N34" s="306">
        <v>360.79999999999995</v>
      </c>
      <c r="O34" s="313">
        <f t="shared" si="14"/>
        <v>14</v>
      </c>
      <c r="P34" s="425">
        <v>32.799999999999997</v>
      </c>
      <c r="Q34" s="421">
        <f t="shared" si="15"/>
        <v>24</v>
      </c>
      <c r="R34" s="405">
        <v>32.799999999999997</v>
      </c>
      <c r="S34" s="406">
        <f t="shared" si="16"/>
        <v>24</v>
      </c>
      <c r="T34" s="420">
        <v>24.5</v>
      </c>
      <c r="U34" s="421">
        <f t="shared" si="17"/>
        <v>27</v>
      </c>
      <c r="V34" s="309">
        <v>24.5</v>
      </c>
      <c r="W34" s="312">
        <f t="shared" si="18"/>
        <v>27</v>
      </c>
      <c r="X34" s="425">
        <v>28.7</v>
      </c>
      <c r="Y34" s="421">
        <f t="shared" si="19"/>
        <v>26</v>
      </c>
      <c r="Z34" s="407">
        <v>27.1</v>
      </c>
      <c r="AA34" s="406">
        <f t="shared" si="20"/>
        <v>26</v>
      </c>
      <c r="AB34" s="420">
        <f t="shared" si="43"/>
        <v>19.166666666666668</v>
      </c>
      <c r="AC34" s="424">
        <f t="shared" si="8"/>
        <v>22</v>
      </c>
      <c r="AD34" s="309">
        <f t="shared" si="22"/>
        <v>21</v>
      </c>
      <c r="AE34" s="313">
        <f t="shared" si="23"/>
        <v>25</v>
      </c>
      <c r="AF34" s="420">
        <v>0.31</v>
      </c>
      <c r="AG34" s="424">
        <f t="shared" si="24"/>
        <v>30</v>
      </c>
      <c r="AH34" s="309">
        <v>0.32</v>
      </c>
      <c r="AI34" s="313">
        <f t="shared" si="25"/>
        <v>30</v>
      </c>
      <c r="AJ34" s="420">
        <v>0.192</v>
      </c>
      <c r="AK34" s="421">
        <f t="shared" si="26"/>
        <v>16</v>
      </c>
      <c r="AL34" s="309">
        <v>0.72499999999999998</v>
      </c>
      <c r="AM34" s="313">
        <f t="shared" si="27"/>
        <v>19</v>
      </c>
      <c r="AN34" s="420">
        <f t="shared" si="44"/>
        <v>23</v>
      </c>
      <c r="AO34" s="421">
        <f t="shared" si="29"/>
        <v>22</v>
      </c>
      <c r="AP34" s="309">
        <f t="shared" si="30"/>
        <v>24.5</v>
      </c>
      <c r="AQ34" s="312">
        <f t="shared" si="31"/>
        <v>26</v>
      </c>
      <c r="AR34" s="420">
        <v>0.84</v>
      </c>
      <c r="AS34" s="421">
        <f t="shared" si="32"/>
        <v>13</v>
      </c>
      <c r="AT34" s="309">
        <v>0.5</v>
      </c>
      <c r="AU34" s="312">
        <f t="shared" si="33"/>
        <v>15</v>
      </c>
      <c r="AV34" s="420">
        <v>0.05</v>
      </c>
      <c r="AW34" s="421">
        <f t="shared" si="34"/>
        <v>16</v>
      </c>
      <c r="AX34" s="309">
        <v>0.02</v>
      </c>
      <c r="AY34" s="312">
        <f t="shared" si="35"/>
        <v>16</v>
      </c>
      <c r="AZ34" s="420">
        <f t="shared" si="36"/>
        <v>14.5</v>
      </c>
      <c r="BA34" s="421">
        <f t="shared" si="37"/>
        <v>14</v>
      </c>
      <c r="BB34" s="309">
        <f t="shared" si="38"/>
        <v>15.5</v>
      </c>
      <c r="BC34" s="313">
        <f t="shared" si="39"/>
        <v>14</v>
      </c>
      <c r="BD34" s="420" cm="1">
        <f t="array" aca="1" ref="BD34" ca="1">SUMPRODUCT(--($D$7:$BC$7=BD$7),$D$3:$BC$3,$D34:$BC34)</f>
        <v>18.888888888888889</v>
      </c>
      <c r="BE34" s="421">
        <f t="shared" ca="1" si="40"/>
        <v>17</v>
      </c>
      <c r="BF34" s="309" cm="1">
        <f t="array" aca="1" ref="BF34" ca="1">ROUNDUP(SUMPRODUCT(--($D$7:$BC$7=BF$7),$D$3:$BC$3,$D34:$BC34),3)</f>
        <v>20.334</v>
      </c>
      <c r="BG34" s="313">
        <f t="shared" ca="1" si="41"/>
        <v>20</v>
      </c>
      <c r="BH34" s="451">
        <f t="shared" ca="1" si="42"/>
        <v>-3</v>
      </c>
      <c r="BI34" s="343" t="s">
        <v>6</v>
      </c>
      <c r="BJ34" s="314" t="s">
        <v>89</v>
      </c>
    </row>
    <row r="35" spans="2:62" s="445" customFormat="1" ht="12.95" customHeight="1">
      <c r="B35" s="322" t="s">
        <v>89</v>
      </c>
      <c r="C35" s="344" t="s">
        <v>8</v>
      </c>
      <c r="D35" s="384">
        <v>70.98</v>
      </c>
      <c r="E35" s="305">
        <f t="shared" si="9"/>
        <v>21</v>
      </c>
      <c r="F35" s="319">
        <v>84.86</v>
      </c>
      <c r="G35" s="321">
        <f t="shared" si="10"/>
        <v>21</v>
      </c>
      <c r="H35" s="408">
        <v>549.94457385350893</v>
      </c>
      <c r="I35" s="409">
        <f t="shared" si="11"/>
        <v>17</v>
      </c>
      <c r="J35" s="318">
        <v>474.7</v>
      </c>
      <c r="K35" s="321">
        <f t="shared" si="12"/>
        <v>19</v>
      </c>
      <c r="L35" s="317">
        <v>150</v>
      </c>
      <c r="M35" s="410">
        <f t="shared" si="13"/>
        <v>15</v>
      </c>
      <c r="N35" s="318">
        <v>161</v>
      </c>
      <c r="O35" s="321">
        <f t="shared" si="14"/>
        <v>18</v>
      </c>
      <c r="P35" s="311">
        <v>82.5</v>
      </c>
      <c r="Q35" s="305">
        <f t="shared" si="15"/>
        <v>8</v>
      </c>
      <c r="R35" s="411">
        <v>82.5</v>
      </c>
      <c r="S35" s="412">
        <f t="shared" si="16"/>
        <v>8</v>
      </c>
      <c r="T35" s="384">
        <v>59.6</v>
      </c>
      <c r="U35" s="305">
        <f t="shared" si="17"/>
        <v>11</v>
      </c>
      <c r="V35" s="319">
        <v>59.6</v>
      </c>
      <c r="W35" s="307">
        <f t="shared" si="18"/>
        <v>11</v>
      </c>
      <c r="X35" s="311">
        <v>17.03</v>
      </c>
      <c r="Y35" s="305">
        <f t="shared" si="19"/>
        <v>20</v>
      </c>
      <c r="Z35" s="413">
        <v>20.86</v>
      </c>
      <c r="AA35" s="412">
        <f t="shared" si="20"/>
        <v>21</v>
      </c>
      <c r="AB35" s="384">
        <f t="shared" si="43"/>
        <v>15.333333333333334</v>
      </c>
      <c r="AC35" s="410">
        <f t="shared" si="8"/>
        <v>16</v>
      </c>
      <c r="AD35" s="319">
        <f t="shared" si="22"/>
        <v>16.333333333333332</v>
      </c>
      <c r="AE35" s="321">
        <f t="shared" si="23"/>
        <v>15</v>
      </c>
      <c r="AF35" s="384">
        <v>0.76</v>
      </c>
      <c r="AG35" s="410">
        <f t="shared" si="24"/>
        <v>5</v>
      </c>
      <c r="AH35" s="319">
        <v>0.75</v>
      </c>
      <c r="AI35" s="321">
        <f t="shared" si="25"/>
        <v>6</v>
      </c>
      <c r="AJ35" s="384">
        <v>8.3000000000000004E-2</v>
      </c>
      <c r="AK35" s="305">
        <f t="shared" si="26"/>
        <v>8</v>
      </c>
      <c r="AL35" s="319">
        <v>0.627</v>
      </c>
      <c r="AM35" s="321">
        <f t="shared" si="27"/>
        <v>28</v>
      </c>
      <c r="AN35" s="384">
        <f t="shared" si="44"/>
        <v>6.5</v>
      </c>
      <c r="AO35" s="305">
        <f t="shared" si="29"/>
        <v>6</v>
      </c>
      <c r="AP35" s="319">
        <f t="shared" si="30"/>
        <v>17</v>
      </c>
      <c r="AQ35" s="307">
        <f t="shared" si="31"/>
        <v>18</v>
      </c>
      <c r="AR35" s="384">
        <v>1.4</v>
      </c>
      <c r="AS35" s="305">
        <f t="shared" si="32"/>
        <v>7</v>
      </c>
      <c r="AT35" s="319">
        <v>1.62</v>
      </c>
      <c r="AU35" s="307">
        <f t="shared" si="33"/>
        <v>3</v>
      </c>
      <c r="AV35" s="384">
        <v>1.57</v>
      </c>
      <c r="AW35" s="305">
        <f t="shared" si="34"/>
        <v>8</v>
      </c>
      <c r="AX35" s="319">
        <v>1.54</v>
      </c>
      <c r="AY35" s="307">
        <f t="shared" si="35"/>
        <v>8</v>
      </c>
      <c r="AZ35" s="384">
        <f t="shared" si="36"/>
        <v>7.5</v>
      </c>
      <c r="BA35" s="305">
        <f t="shared" si="37"/>
        <v>7</v>
      </c>
      <c r="BB35" s="319">
        <f t="shared" si="38"/>
        <v>5.5</v>
      </c>
      <c r="BC35" s="321">
        <f t="shared" si="39"/>
        <v>5</v>
      </c>
      <c r="BD35" s="384" cm="1">
        <f t="array" aca="1" ref="BD35" ca="1">SUMPRODUCT(--($D$7:$BC$7=BD$7),$D$3:$BC$3,$D35:$BC35)</f>
        <v>9.7777777777777768</v>
      </c>
      <c r="BE35" s="305">
        <f t="shared" ca="1" si="40"/>
        <v>8</v>
      </c>
      <c r="BF35" s="319" cm="1">
        <f t="array" aca="1" ref="BF35" ca="1">ROUNDUP(SUMPRODUCT(--($D$7:$BC$7=BF$7),$D$3:$BC$3,$D35:$BC35),3)</f>
        <v>12.945</v>
      </c>
      <c r="BG35" s="321">
        <f ca="1">RANK(BF35,$BF$13:$BF$42,1)</f>
        <v>9</v>
      </c>
      <c r="BH35" s="451">
        <f t="shared" ca="1" si="42"/>
        <v>-1</v>
      </c>
      <c r="BI35" s="344" t="s">
        <v>8</v>
      </c>
      <c r="BJ35" s="322" t="s">
        <v>89</v>
      </c>
    </row>
    <row r="36" spans="2:62" s="445" customFormat="1" ht="12.95" customHeight="1">
      <c r="B36" s="334" t="s">
        <v>89</v>
      </c>
      <c r="C36" s="345" t="s">
        <v>14</v>
      </c>
      <c r="D36" s="387">
        <v>101</v>
      </c>
      <c r="E36" s="326">
        <f t="shared" si="9"/>
        <v>9</v>
      </c>
      <c r="F36" s="331">
        <v>116.66</v>
      </c>
      <c r="G36" s="333">
        <f t="shared" si="10"/>
        <v>10</v>
      </c>
      <c r="H36" s="414">
        <v>626.91453643137095</v>
      </c>
      <c r="I36" s="415">
        <f t="shared" si="11"/>
        <v>22</v>
      </c>
      <c r="J36" s="327">
        <v>285.69</v>
      </c>
      <c r="K36" s="333">
        <f t="shared" si="12"/>
        <v>11</v>
      </c>
      <c r="L36" s="325">
        <v>1387</v>
      </c>
      <c r="M36" s="416">
        <f t="shared" si="13"/>
        <v>11</v>
      </c>
      <c r="N36" s="327">
        <v>919.81999999999994</v>
      </c>
      <c r="O36" s="333">
        <f t="shared" si="14"/>
        <v>12</v>
      </c>
      <c r="P36" s="332">
        <v>73.3</v>
      </c>
      <c r="Q36" s="326">
        <f t="shared" si="15"/>
        <v>11</v>
      </c>
      <c r="R36" s="417">
        <v>73.3</v>
      </c>
      <c r="S36" s="418">
        <f t="shared" si="16"/>
        <v>11</v>
      </c>
      <c r="T36" s="387">
        <v>48.8</v>
      </c>
      <c r="U36" s="326">
        <f t="shared" si="17"/>
        <v>19</v>
      </c>
      <c r="V36" s="331">
        <v>48.8</v>
      </c>
      <c r="W36" s="328">
        <f t="shared" si="18"/>
        <v>19</v>
      </c>
      <c r="X36" s="332">
        <v>10.51</v>
      </c>
      <c r="Y36" s="326">
        <f t="shared" si="19"/>
        <v>14</v>
      </c>
      <c r="Z36" s="419">
        <v>10.84</v>
      </c>
      <c r="AA36" s="418">
        <f t="shared" si="20"/>
        <v>15</v>
      </c>
      <c r="AB36" s="387">
        <f t="shared" si="43"/>
        <v>14.333333333333334</v>
      </c>
      <c r="AC36" s="416">
        <f t="shared" si="8"/>
        <v>14</v>
      </c>
      <c r="AD36" s="331">
        <f t="shared" si="22"/>
        <v>13</v>
      </c>
      <c r="AE36" s="333">
        <f t="shared" si="23"/>
        <v>12</v>
      </c>
      <c r="AF36" s="387">
        <v>0.62</v>
      </c>
      <c r="AG36" s="416">
        <f t="shared" si="24"/>
        <v>19</v>
      </c>
      <c r="AH36" s="331">
        <v>0.61</v>
      </c>
      <c r="AI36" s="333">
        <f t="shared" si="25"/>
        <v>19</v>
      </c>
      <c r="AJ36" s="387">
        <v>6.7000000000000004E-2</v>
      </c>
      <c r="AK36" s="326">
        <f t="shared" si="26"/>
        <v>4</v>
      </c>
      <c r="AL36" s="331">
        <v>0.68</v>
      </c>
      <c r="AM36" s="333">
        <f t="shared" si="27"/>
        <v>22</v>
      </c>
      <c r="AN36" s="387">
        <f t="shared" si="44"/>
        <v>11.5</v>
      </c>
      <c r="AO36" s="326">
        <f t="shared" si="29"/>
        <v>10</v>
      </c>
      <c r="AP36" s="331">
        <f t="shared" si="30"/>
        <v>20.5</v>
      </c>
      <c r="AQ36" s="328">
        <f t="shared" si="31"/>
        <v>23</v>
      </c>
      <c r="AR36" s="387">
        <v>1.41</v>
      </c>
      <c r="AS36" s="326">
        <f t="shared" si="32"/>
        <v>6</v>
      </c>
      <c r="AT36" s="331">
        <v>1.35</v>
      </c>
      <c r="AU36" s="328">
        <f t="shared" si="33"/>
        <v>7</v>
      </c>
      <c r="AV36" s="387">
        <v>0.76</v>
      </c>
      <c r="AW36" s="326">
        <f t="shared" si="34"/>
        <v>12</v>
      </c>
      <c r="AX36" s="331">
        <v>0.75</v>
      </c>
      <c r="AY36" s="328">
        <f t="shared" si="35"/>
        <v>12</v>
      </c>
      <c r="AZ36" s="387">
        <f t="shared" si="36"/>
        <v>9</v>
      </c>
      <c r="BA36" s="326">
        <f t="shared" si="37"/>
        <v>9</v>
      </c>
      <c r="BB36" s="331">
        <f t="shared" si="38"/>
        <v>9.5</v>
      </c>
      <c r="BC36" s="333">
        <f t="shared" si="39"/>
        <v>9</v>
      </c>
      <c r="BD36" s="387" cm="1">
        <f t="array" aca="1" ref="BD36" ca="1">SUMPRODUCT(--($D$7:$BC$7=BD$7),$D$3:$BC$3,$D36:$BC36)</f>
        <v>11.611111111111111</v>
      </c>
      <c r="BE36" s="326">
        <f t="shared" ca="1" si="40"/>
        <v>10</v>
      </c>
      <c r="BF36" s="331" cm="1">
        <f t="array" aca="1" ref="BF36" ca="1">ROUNDUP(SUMPRODUCT(--($D$7:$BC$7=BF$7),$D$3:$BC$3,$D36:$BC36),3)</f>
        <v>14.334</v>
      </c>
      <c r="BG36" s="333">
        <f t="shared" ca="1" si="41"/>
        <v>16</v>
      </c>
      <c r="BH36" s="451">
        <f t="shared" ca="1" si="42"/>
        <v>-6</v>
      </c>
      <c r="BI36" s="345" t="s">
        <v>14</v>
      </c>
      <c r="BJ36" s="334" t="s">
        <v>89</v>
      </c>
    </row>
    <row r="37" spans="2:62" s="445" customFormat="1" ht="12.95" customHeight="1">
      <c r="B37" s="314" t="s">
        <v>90</v>
      </c>
      <c r="C37" s="343" t="s">
        <v>9</v>
      </c>
      <c r="D37" s="381">
        <v>58</v>
      </c>
      <c r="E37" s="304">
        <f t="shared" si="9"/>
        <v>25</v>
      </c>
      <c r="F37" s="309">
        <v>91.76</v>
      </c>
      <c r="G37" s="313">
        <f t="shared" si="10"/>
        <v>17</v>
      </c>
      <c r="H37" s="408">
        <v>793.42955630255699</v>
      </c>
      <c r="I37" s="409">
        <f t="shared" si="11"/>
        <v>26</v>
      </c>
      <c r="J37" s="318">
        <v>654.07000000000005</v>
      </c>
      <c r="K37" s="307">
        <f t="shared" si="12"/>
        <v>24</v>
      </c>
      <c r="L37" s="317">
        <v>0</v>
      </c>
      <c r="M37" s="410">
        <f t="shared" si="13"/>
        <v>18</v>
      </c>
      <c r="N37" s="318">
        <v>0</v>
      </c>
      <c r="O37" s="321">
        <f t="shared" si="14"/>
        <v>25</v>
      </c>
      <c r="P37" s="426">
        <v>86.4</v>
      </c>
      <c r="Q37" s="305">
        <f t="shared" si="15"/>
        <v>4</v>
      </c>
      <c r="R37" s="411">
        <v>86.4</v>
      </c>
      <c r="S37" s="412">
        <f t="shared" si="16"/>
        <v>4</v>
      </c>
      <c r="T37" s="381">
        <v>62.3</v>
      </c>
      <c r="U37" s="304">
        <f t="shared" si="17"/>
        <v>6</v>
      </c>
      <c r="V37" s="309">
        <v>62.3</v>
      </c>
      <c r="W37" s="312">
        <f t="shared" si="18"/>
        <v>6</v>
      </c>
      <c r="X37" s="336">
        <v>21.36</v>
      </c>
      <c r="Y37" s="304">
        <f t="shared" si="19"/>
        <v>23</v>
      </c>
      <c r="Z37" s="407">
        <v>21.54</v>
      </c>
      <c r="AA37" s="406">
        <f t="shared" si="20"/>
        <v>23</v>
      </c>
      <c r="AB37" s="384">
        <f t="shared" si="43"/>
        <v>17</v>
      </c>
      <c r="AC37" s="410">
        <f t="shared" si="8"/>
        <v>17</v>
      </c>
      <c r="AD37" s="319">
        <f t="shared" si="22"/>
        <v>16.5</v>
      </c>
      <c r="AE37" s="321">
        <f t="shared" si="23"/>
        <v>17</v>
      </c>
      <c r="AF37" s="384">
        <v>0.68</v>
      </c>
      <c r="AG37" s="410">
        <f t="shared" si="24"/>
        <v>11</v>
      </c>
      <c r="AH37" s="319">
        <v>0.7</v>
      </c>
      <c r="AI37" s="321">
        <f t="shared" si="25"/>
        <v>11</v>
      </c>
      <c r="AJ37" s="381">
        <v>7.2999999999999995E-2</v>
      </c>
      <c r="AK37" s="304">
        <f t="shared" si="26"/>
        <v>6</v>
      </c>
      <c r="AL37" s="309">
        <v>0.87</v>
      </c>
      <c r="AM37" s="313">
        <f t="shared" si="27"/>
        <v>3</v>
      </c>
      <c r="AN37" s="381">
        <f t="shared" si="44"/>
        <v>8.5</v>
      </c>
      <c r="AO37" s="304">
        <f t="shared" si="29"/>
        <v>8</v>
      </c>
      <c r="AP37" s="319">
        <f t="shared" si="30"/>
        <v>7</v>
      </c>
      <c r="AQ37" s="307">
        <f t="shared" si="31"/>
        <v>5</v>
      </c>
      <c r="AR37" s="381">
        <v>1.51</v>
      </c>
      <c r="AS37" s="304">
        <f t="shared" si="32"/>
        <v>5</v>
      </c>
      <c r="AT37" s="319">
        <v>1.53</v>
      </c>
      <c r="AU37" s="307">
        <f t="shared" si="33"/>
        <v>6</v>
      </c>
      <c r="AV37" s="381">
        <v>1.74</v>
      </c>
      <c r="AW37" s="304">
        <f t="shared" si="34"/>
        <v>5</v>
      </c>
      <c r="AX37" s="319">
        <v>1.76</v>
      </c>
      <c r="AY37" s="307">
        <f t="shared" si="35"/>
        <v>5</v>
      </c>
      <c r="AZ37" s="381">
        <f t="shared" si="36"/>
        <v>5</v>
      </c>
      <c r="BA37" s="304">
        <f t="shared" si="37"/>
        <v>4</v>
      </c>
      <c r="BB37" s="309">
        <f t="shared" si="38"/>
        <v>5.5</v>
      </c>
      <c r="BC37" s="313">
        <f t="shared" si="39"/>
        <v>5</v>
      </c>
      <c r="BD37" s="381" cm="1">
        <f t="array" aca="1" ref="BD37" ca="1">SUMPRODUCT(--($D$7:$BC$7=BD$7),$D$3:$BC$3,$D37:$BC37)</f>
        <v>10.166666666666666</v>
      </c>
      <c r="BE37" s="304">
        <f t="shared" ca="1" si="40"/>
        <v>9</v>
      </c>
      <c r="BF37" s="309" cm="1">
        <f t="array" aca="1" ref="BF37" ca="1">ROUNDUP(SUMPRODUCT(--($D$7:$BC$7=BF$7),$D$3:$BC$3,$D37:$BC37),3)</f>
        <v>9.6669999999999998</v>
      </c>
      <c r="BG37" s="313">
        <f t="shared" ca="1" si="41"/>
        <v>8</v>
      </c>
      <c r="BH37" s="451">
        <f t="shared" ca="1" si="42"/>
        <v>1</v>
      </c>
      <c r="BI37" s="343" t="s">
        <v>9</v>
      </c>
      <c r="BJ37" s="314" t="s">
        <v>90</v>
      </c>
    </row>
    <row r="38" spans="2:62" s="445" customFormat="1" ht="12.95" customHeight="1">
      <c r="B38" s="322" t="s">
        <v>90</v>
      </c>
      <c r="C38" s="344" t="s">
        <v>7</v>
      </c>
      <c r="D38" s="384">
        <v>117.07</v>
      </c>
      <c r="E38" s="305">
        <f t="shared" si="9"/>
        <v>1</v>
      </c>
      <c r="F38" s="319">
        <v>134.31</v>
      </c>
      <c r="G38" s="321">
        <f t="shared" si="10"/>
        <v>4</v>
      </c>
      <c r="H38" s="408">
        <v>838.9408112308904</v>
      </c>
      <c r="I38" s="409">
        <f t="shared" si="11"/>
        <v>28</v>
      </c>
      <c r="J38" s="318">
        <v>788.8</v>
      </c>
      <c r="K38" s="307">
        <f t="shared" si="12"/>
        <v>29</v>
      </c>
      <c r="L38" s="317">
        <v>0</v>
      </c>
      <c r="M38" s="410">
        <f t="shared" si="13"/>
        <v>18</v>
      </c>
      <c r="N38" s="318">
        <v>25</v>
      </c>
      <c r="O38" s="321">
        <f t="shared" si="14"/>
        <v>22</v>
      </c>
      <c r="P38" s="426">
        <v>12.5</v>
      </c>
      <c r="Q38" s="305">
        <f t="shared" si="15"/>
        <v>30</v>
      </c>
      <c r="R38" s="411">
        <v>12.5</v>
      </c>
      <c r="S38" s="412">
        <f t="shared" si="16"/>
        <v>30</v>
      </c>
      <c r="T38" s="384">
        <v>19.3</v>
      </c>
      <c r="U38" s="305">
        <f t="shared" si="17"/>
        <v>30</v>
      </c>
      <c r="V38" s="319">
        <v>19.3</v>
      </c>
      <c r="W38" s="307">
        <f t="shared" si="18"/>
        <v>30</v>
      </c>
      <c r="X38" s="311">
        <v>42.31</v>
      </c>
      <c r="Y38" s="305">
        <f t="shared" si="19"/>
        <v>29</v>
      </c>
      <c r="Z38" s="413">
        <v>41.52</v>
      </c>
      <c r="AA38" s="412">
        <f t="shared" si="20"/>
        <v>28</v>
      </c>
      <c r="AB38" s="384">
        <f t="shared" si="43"/>
        <v>22.666666666666668</v>
      </c>
      <c r="AC38" s="410">
        <f t="shared" si="8"/>
        <v>29</v>
      </c>
      <c r="AD38" s="319">
        <f t="shared" si="22"/>
        <v>23.833333333333332</v>
      </c>
      <c r="AE38" s="321">
        <f t="shared" si="23"/>
        <v>30</v>
      </c>
      <c r="AF38" s="384">
        <v>0.49</v>
      </c>
      <c r="AG38" s="410">
        <f t="shared" si="24"/>
        <v>25</v>
      </c>
      <c r="AH38" s="319">
        <v>0.5</v>
      </c>
      <c r="AI38" s="321">
        <f t="shared" si="25"/>
        <v>24</v>
      </c>
      <c r="AJ38" s="384">
        <v>0.49</v>
      </c>
      <c r="AK38" s="305">
        <f t="shared" si="26"/>
        <v>29</v>
      </c>
      <c r="AL38" s="319">
        <v>0.56000000000000005</v>
      </c>
      <c r="AM38" s="321">
        <f t="shared" si="27"/>
        <v>29</v>
      </c>
      <c r="AN38" s="384">
        <f t="shared" si="44"/>
        <v>27</v>
      </c>
      <c r="AO38" s="305">
        <f t="shared" si="29"/>
        <v>28</v>
      </c>
      <c r="AP38" s="319">
        <f t="shared" si="30"/>
        <v>26.5</v>
      </c>
      <c r="AQ38" s="307">
        <f t="shared" si="31"/>
        <v>29</v>
      </c>
      <c r="AR38" s="384">
        <v>0.28000000000000003</v>
      </c>
      <c r="AS38" s="305">
        <f t="shared" si="32"/>
        <v>19</v>
      </c>
      <c r="AT38" s="319">
        <v>0.37</v>
      </c>
      <c r="AU38" s="307">
        <f t="shared" si="33"/>
        <v>18</v>
      </c>
      <c r="AV38" s="384">
        <v>-0.28999999999999998</v>
      </c>
      <c r="AW38" s="305">
        <f t="shared" si="34"/>
        <v>19</v>
      </c>
      <c r="AX38" s="319">
        <v>-0.32</v>
      </c>
      <c r="AY38" s="307">
        <f t="shared" si="35"/>
        <v>19</v>
      </c>
      <c r="AZ38" s="384">
        <f t="shared" si="36"/>
        <v>19</v>
      </c>
      <c r="BA38" s="305">
        <f t="shared" si="37"/>
        <v>18</v>
      </c>
      <c r="BB38" s="319">
        <f t="shared" si="38"/>
        <v>18.5</v>
      </c>
      <c r="BC38" s="321">
        <f t="shared" si="39"/>
        <v>18</v>
      </c>
      <c r="BD38" s="384" cm="1">
        <f t="array" aca="1" ref="BD38" ca="1">SUMPRODUCT(--($D$7:$BC$7=BD$7),$D$3:$BC$3,$D38:$BC38)</f>
        <v>22.888888888888889</v>
      </c>
      <c r="BE38" s="305">
        <f t="shared" ca="1" si="40"/>
        <v>26</v>
      </c>
      <c r="BF38" s="319" cm="1">
        <f t="array" aca="1" ref="BF38" ca="1">ROUNDUP(SUMPRODUCT(--($D$7:$BC$7=BF$7),$D$3:$BC$3,$D38:$BC38),3)</f>
        <v>22.945</v>
      </c>
      <c r="BG38" s="321">
        <f t="shared" ca="1" si="41"/>
        <v>27</v>
      </c>
      <c r="BH38" s="451">
        <f t="shared" ca="1" si="42"/>
        <v>-1</v>
      </c>
      <c r="BI38" s="344" t="s">
        <v>7</v>
      </c>
      <c r="BJ38" s="322" t="s">
        <v>90</v>
      </c>
    </row>
    <row r="39" spans="2:62" s="445" customFormat="1" ht="12.95" customHeight="1">
      <c r="B39" s="322" t="s">
        <v>90</v>
      </c>
      <c r="C39" s="344" t="s">
        <v>10</v>
      </c>
      <c r="D39" s="384">
        <v>74.44</v>
      </c>
      <c r="E39" s="305">
        <f t="shared" si="9"/>
        <v>20</v>
      </c>
      <c r="F39" s="319">
        <v>90.35</v>
      </c>
      <c r="G39" s="321">
        <f t="shared" si="10"/>
        <v>18</v>
      </c>
      <c r="H39" s="408">
        <v>790.78202177454807</v>
      </c>
      <c r="I39" s="409">
        <f t="shared" si="11"/>
        <v>25</v>
      </c>
      <c r="J39" s="318">
        <v>713.29</v>
      </c>
      <c r="K39" s="307">
        <f t="shared" si="12"/>
        <v>26</v>
      </c>
      <c r="L39" s="317">
        <v>0</v>
      </c>
      <c r="M39" s="410">
        <f t="shared" si="13"/>
        <v>18</v>
      </c>
      <c r="N39" s="318">
        <v>238.2</v>
      </c>
      <c r="O39" s="321">
        <f t="shared" si="14"/>
        <v>15</v>
      </c>
      <c r="P39" s="426">
        <v>25.3</v>
      </c>
      <c r="Q39" s="305">
        <f t="shared" si="15"/>
        <v>28</v>
      </c>
      <c r="R39" s="411">
        <v>25.3</v>
      </c>
      <c r="S39" s="412">
        <f t="shared" si="16"/>
        <v>28</v>
      </c>
      <c r="T39" s="384">
        <v>34.1</v>
      </c>
      <c r="U39" s="305">
        <f t="shared" si="17"/>
        <v>25</v>
      </c>
      <c r="V39" s="319">
        <v>34.1</v>
      </c>
      <c r="W39" s="307">
        <f t="shared" si="18"/>
        <v>25</v>
      </c>
      <c r="X39" s="311">
        <v>41.46</v>
      </c>
      <c r="Y39" s="305">
        <f t="shared" si="19"/>
        <v>28</v>
      </c>
      <c r="Z39" s="413">
        <v>43.5</v>
      </c>
      <c r="AA39" s="412">
        <f t="shared" si="20"/>
        <v>29</v>
      </c>
      <c r="AB39" s="384">
        <f t="shared" si="43"/>
        <v>24</v>
      </c>
      <c r="AC39" s="410">
        <f t="shared" si="8"/>
        <v>30</v>
      </c>
      <c r="AD39" s="319">
        <f t="shared" si="22"/>
        <v>23.5</v>
      </c>
      <c r="AE39" s="321">
        <f t="shared" si="23"/>
        <v>29</v>
      </c>
      <c r="AF39" s="384">
        <v>0.64</v>
      </c>
      <c r="AG39" s="410">
        <f t="shared" si="24"/>
        <v>17</v>
      </c>
      <c r="AH39" s="319">
        <v>0.63</v>
      </c>
      <c r="AI39" s="321">
        <f t="shared" si="25"/>
        <v>17</v>
      </c>
      <c r="AJ39" s="384">
        <v>0.44400000000000001</v>
      </c>
      <c r="AK39" s="305">
        <f t="shared" si="26"/>
        <v>28</v>
      </c>
      <c r="AL39" s="319">
        <v>0.65200000000000002</v>
      </c>
      <c r="AM39" s="321">
        <f t="shared" si="27"/>
        <v>26</v>
      </c>
      <c r="AN39" s="384">
        <f t="shared" si="44"/>
        <v>22.5</v>
      </c>
      <c r="AO39" s="305">
        <f t="shared" si="29"/>
        <v>20</v>
      </c>
      <c r="AP39" s="319">
        <f t="shared" si="30"/>
        <v>21.5</v>
      </c>
      <c r="AQ39" s="307">
        <f t="shared" si="31"/>
        <v>24</v>
      </c>
      <c r="AR39" s="384">
        <v>0.38</v>
      </c>
      <c r="AS39" s="305">
        <f t="shared" si="32"/>
        <v>17</v>
      </c>
      <c r="AT39" s="319">
        <v>0.44</v>
      </c>
      <c r="AU39" s="307">
        <f t="shared" si="33"/>
        <v>16</v>
      </c>
      <c r="AV39" s="384">
        <v>-0.43</v>
      </c>
      <c r="AW39" s="305">
        <f t="shared" si="34"/>
        <v>23</v>
      </c>
      <c r="AX39" s="319">
        <v>-0.43</v>
      </c>
      <c r="AY39" s="307">
        <f t="shared" si="35"/>
        <v>22</v>
      </c>
      <c r="AZ39" s="384">
        <f t="shared" si="36"/>
        <v>20</v>
      </c>
      <c r="BA39" s="305">
        <f t="shared" si="37"/>
        <v>20</v>
      </c>
      <c r="BB39" s="319">
        <f t="shared" si="38"/>
        <v>19</v>
      </c>
      <c r="BC39" s="321">
        <f t="shared" si="39"/>
        <v>19</v>
      </c>
      <c r="BD39" s="384" cm="1">
        <f t="array" aca="1" ref="BD39" ca="1">SUMPRODUCT(--($D$7:$BC$7=BD$7),$D$3:$BC$3,$D39:$BC39)</f>
        <v>22.166666666666664</v>
      </c>
      <c r="BE39" s="305">
        <f t="shared" ca="1" si="40"/>
        <v>23</v>
      </c>
      <c r="BF39" s="319" cm="1">
        <f t="array" aca="1" ref="BF39" ca="1">ROUNDUP(SUMPRODUCT(--($D$7:$BC$7=BF$7),$D$3:$BC$3,$D39:$BC39),3)</f>
        <v>21.334</v>
      </c>
      <c r="BG39" s="321">
        <f t="shared" ca="1" si="41"/>
        <v>23</v>
      </c>
      <c r="BH39" s="451">
        <f t="shared" ca="1" si="42"/>
        <v>0</v>
      </c>
      <c r="BI39" s="344" t="s">
        <v>10</v>
      </c>
      <c r="BJ39" s="322" t="s">
        <v>90</v>
      </c>
    </row>
    <row r="40" spans="2:62" s="445" customFormat="1" ht="12.95" customHeight="1">
      <c r="B40" s="322" t="s">
        <v>90</v>
      </c>
      <c r="C40" s="344" t="s">
        <v>82</v>
      </c>
      <c r="D40" s="384">
        <v>97.21</v>
      </c>
      <c r="E40" s="305">
        <f t="shared" si="9"/>
        <v>11</v>
      </c>
      <c r="F40" s="319">
        <v>137.80000000000001</v>
      </c>
      <c r="G40" s="321">
        <f t="shared" si="10"/>
        <v>2</v>
      </c>
      <c r="H40" s="408">
        <v>671.80606423934728</v>
      </c>
      <c r="I40" s="409">
        <f t="shared" si="11"/>
        <v>24</v>
      </c>
      <c r="J40" s="318">
        <v>705.8</v>
      </c>
      <c r="K40" s="307">
        <f t="shared" si="12"/>
        <v>25</v>
      </c>
      <c r="L40" s="317">
        <v>0</v>
      </c>
      <c r="M40" s="410">
        <f t="shared" si="13"/>
        <v>18</v>
      </c>
      <c r="N40" s="318">
        <v>0</v>
      </c>
      <c r="O40" s="321">
        <f t="shared" si="14"/>
        <v>25</v>
      </c>
      <c r="P40" s="426">
        <v>31.1</v>
      </c>
      <c r="Q40" s="305">
        <f t="shared" si="15"/>
        <v>25</v>
      </c>
      <c r="R40" s="411">
        <v>31.1</v>
      </c>
      <c r="S40" s="412">
        <f t="shared" si="16"/>
        <v>25</v>
      </c>
      <c r="T40" s="384">
        <v>38.6</v>
      </c>
      <c r="U40" s="305">
        <f t="shared" si="17"/>
        <v>23</v>
      </c>
      <c r="V40" s="319">
        <v>38.6</v>
      </c>
      <c r="W40" s="307">
        <f t="shared" si="18"/>
        <v>23</v>
      </c>
      <c r="X40" s="311">
        <v>46.82</v>
      </c>
      <c r="Y40" s="305">
        <f t="shared" si="19"/>
        <v>30</v>
      </c>
      <c r="Z40" s="413">
        <v>46.86</v>
      </c>
      <c r="AA40" s="412">
        <f t="shared" si="20"/>
        <v>30</v>
      </c>
      <c r="AB40" s="384">
        <f t="shared" si="43"/>
        <v>21.833333333333332</v>
      </c>
      <c r="AC40" s="410">
        <f t="shared" si="8"/>
        <v>28</v>
      </c>
      <c r="AD40" s="319">
        <f t="shared" si="22"/>
        <v>21.666666666666668</v>
      </c>
      <c r="AE40" s="321">
        <f t="shared" si="23"/>
        <v>26</v>
      </c>
      <c r="AF40" s="384">
        <v>0.44</v>
      </c>
      <c r="AG40" s="410">
        <f t="shared" si="24"/>
        <v>28</v>
      </c>
      <c r="AH40" s="319">
        <v>0.48</v>
      </c>
      <c r="AI40" s="321">
        <f t="shared" si="25"/>
        <v>26</v>
      </c>
      <c r="AJ40" s="384">
        <v>0.41899999999999998</v>
      </c>
      <c r="AK40" s="305">
        <f t="shared" si="26"/>
        <v>26</v>
      </c>
      <c r="AL40" s="319">
        <v>0.77200000000000002</v>
      </c>
      <c r="AM40" s="321">
        <f t="shared" si="27"/>
        <v>14</v>
      </c>
      <c r="AN40" s="384">
        <f t="shared" si="44"/>
        <v>27</v>
      </c>
      <c r="AO40" s="305">
        <f t="shared" si="29"/>
        <v>28</v>
      </c>
      <c r="AP40" s="319">
        <f t="shared" si="30"/>
        <v>20</v>
      </c>
      <c r="AQ40" s="307">
        <f t="shared" si="31"/>
        <v>22</v>
      </c>
      <c r="AR40" s="384">
        <v>7.0000000000000007E-2</v>
      </c>
      <c r="AS40" s="305">
        <f t="shared" si="32"/>
        <v>22</v>
      </c>
      <c r="AT40" s="319">
        <v>0.06</v>
      </c>
      <c r="AU40" s="307">
        <f t="shared" si="33"/>
        <v>22</v>
      </c>
      <c r="AV40" s="384">
        <v>-0.51</v>
      </c>
      <c r="AW40" s="305">
        <f t="shared" si="34"/>
        <v>27</v>
      </c>
      <c r="AX40" s="319">
        <v>-0.54</v>
      </c>
      <c r="AY40" s="307">
        <f t="shared" si="35"/>
        <v>26</v>
      </c>
      <c r="AZ40" s="384">
        <f t="shared" si="36"/>
        <v>24.5</v>
      </c>
      <c r="BA40" s="305">
        <f t="shared" si="37"/>
        <v>25</v>
      </c>
      <c r="BB40" s="319">
        <f t="shared" si="38"/>
        <v>24</v>
      </c>
      <c r="BC40" s="321">
        <f t="shared" si="39"/>
        <v>24</v>
      </c>
      <c r="BD40" s="384" cm="1">
        <f t="array" aca="1" ref="BD40" ca="1">SUMPRODUCT(--($D$7:$BC$7=BD$7),$D$3:$BC$3,$D40:$BC40)</f>
        <v>24.444444444444443</v>
      </c>
      <c r="BE40" s="305">
        <f t="shared" ca="1" si="40"/>
        <v>29</v>
      </c>
      <c r="BF40" s="319" cm="1">
        <f t="array" aca="1" ref="BF40" ca="1">ROUNDUP(SUMPRODUCT(--($D$7:$BC$7=BF$7),$D$3:$BC$3,$D40:$BC40),3)</f>
        <v>21.889000000000003</v>
      </c>
      <c r="BG40" s="321">
        <f t="shared" ca="1" si="41"/>
        <v>25</v>
      </c>
      <c r="BH40" s="451">
        <f t="shared" ca="1" si="42"/>
        <v>4</v>
      </c>
      <c r="BI40" s="344" t="s">
        <v>82</v>
      </c>
      <c r="BJ40" s="322" t="s">
        <v>90</v>
      </c>
    </row>
    <row r="41" spans="2:62" s="445" customFormat="1" ht="12.95" customHeight="1">
      <c r="B41" s="322" t="s">
        <v>90</v>
      </c>
      <c r="C41" s="344" t="s">
        <v>57</v>
      </c>
      <c r="D41" s="384">
        <v>67.239999999999995</v>
      </c>
      <c r="E41" s="305">
        <f t="shared" si="9"/>
        <v>22</v>
      </c>
      <c r="F41" s="319">
        <v>104</v>
      </c>
      <c r="G41" s="321">
        <f t="shared" si="10"/>
        <v>14</v>
      </c>
      <c r="H41" s="408">
        <v>610.97164162887645</v>
      </c>
      <c r="I41" s="409">
        <f t="shared" si="11"/>
        <v>21</v>
      </c>
      <c r="J41" s="318">
        <v>540.09</v>
      </c>
      <c r="K41" s="307">
        <f t="shared" si="12"/>
        <v>22</v>
      </c>
      <c r="L41" s="317">
        <v>0</v>
      </c>
      <c r="M41" s="410">
        <f t="shared" si="13"/>
        <v>18</v>
      </c>
      <c r="N41" s="318">
        <v>25</v>
      </c>
      <c r="O41" s="321">
        <f t="shared" si="14"/>
        <v>22</v>
      </c>
      <c r="P41" s="426">
        <v>43.8</v>
      </c>
      <c r="Q41" s="305">
        <f t="shared" si="15"/>
        <v>20</v>
      </c>
      <c r="R41" s="411">
        <v>43.8</v>
      </c>
      <c r="S41" s="412">
        <f t="shared" si="16"/>
        <v>20</v>
      </c>
      <c r="T41" s="384">
        <v>37.299999999999997</v>
      </c>
      <c r="U41" s="305">
        <f t="shared" si="17"/>
        <v>24</v>
      </c>
      <c r="V41" s="319">
        <v>37.299999999999997</v>
      </c>
      <c r="W41" s="307">
        <f t="shared" si="18"/>
        <v>24</v>
      </c>
      <c r="X41" s="311">
        <v>20.91</v>
      </c>
      <c r="Y41" s="305">
        <f t="shared" si="19"/>
        <v>22</v>
      </c>
      <c r="Z41" s="413">
        <v>21.09</v>
      </c>
      <c r="AA41" s="412">
        <f t="shared" si="20"/>
        <v>22</v>
      </c>
      <c r="AB41" s="384">
        <f t="shared" si="43"/>
        <v>21.166666666666668</v>
      </c>
      <c r="AC41" s="410">
        <f t="shared" si="8"/>
        <v>27</v>
      </c>
      <c r="AD41" s="319">
        <f t="shared" si="22"/>
        <v>20.666666666666668</v>
      </c>
      <c r="AE41" s="321">
        <f t="shared" si="23"/>
        <v>24</v>
      </c>
      <c r="AF41" s="384">
        <v>0.51</v>
      </c>
      <c r="AG41" s="410">
        <f t="shared" si="24"/>
        <v>23</v>
      </c>
      <c r="AH41" s="319">
        <v>0.53</v>
      </c>
      <c r="AI41" s="321">
        <f t="shared" si="25"/>
        <v>22</v>
      </c>
      <c r="AJ41" s="384">
        <v>0.33300000000000002</v>
      </c>
      <c r="AK41" s="305">
        <f t="shared" si="26"/>
        <v>22</v>
      </c>
      <c r="AL41" s="319">
        <v>0.67700000000000005</v>
      </c>
      <c r="AM41" s="321">
        <f t="shared" si="27"/>
        <v>25</v>
      </c>
      <c r="AN41" s="384">
        <f t="shared" si="44"/>
        <v>22.5</v>
      </c>
      <c r="AO41" s="305">
        <f t="shared" si="29"/>
        <v>20</v>
      </c>
      <c r="AP41" s="319">
        <f t="shared" si="30"/>
        <v>23.5</v>
      </c>
      <c r="AQ41" s="307">
        <f t="shared" si="31"/>
        <v>25</v>
      </c>
      <c r="AR41" s="384">
        <v>0.25</v>
      </c>
      <c r="AS41" s="305">
        <f t="shared" si="32"/>
        <v>21</v>
      </c>
      <c r="AT41" s="319">
        <v>0.13</v>
      </c>
      <c r="AU41" s="307">
        <f t="shared" si="33"/>
        <v>21</v>
      </c>
      <c r="AV41" s="384">
        <v>-0.46</v>
      </c>
      <c r="AW41" s="305">
        <f t="shared" si="34"/>
        <v>25</v>
      </c>
      <c r="AX41" s="319">
        <v>-0.45</v>
      </c>
      <c r="AY41" s="307">
        <f t="shared" si="35"/>
        <v>23</v>
      </c>
      <c r="AZ41" s="384">
        <f t="shared" si="36"/>
        <v>23</v>
      </c>
      <c r="BA41" s="305">
        <f t="shared" si="37"/>
        <v>22</v>
      </c>
      <c r="BB41" s="319">
        <f t="shared" si="38"/>
        <v>22</v>
      </c>
      <c r="BC41" s="321">
        <f t="shared" si="39"/>
        <v>22</v>
      </c>
      <c r="BD41" s="384" cm="1">
        <f t="array" aca="1" ref="BD41" ca="1">SUMPRODUCT(--($D$7:$BC$7=BD$7),$D$3:$BC$3,$D41:$BC41)</f>
        <v>22.222222222222221</v>
      </c>
      <c r="BE41" s="305">
        <f t="shared" ca="1" si="40"/>
        <v>24</v>
      </c>
      <c r="BF41" s="319" cm="1">
        <f t="array" aca="1" ref="BF41" ca="1">ROUNDUP(SUMPRODUCT(--($D$7:$BC$7=BF$7),$D$3:$BC$3,$D41:$BC41),3)</f>
        <v>22.056000000000001</v>
      </c>
      <c r="BG41" s="321">
        <f t="shared" ca="1" si="41"/>
        <v>26</v>
      </c>
      <c r="BH41" s="451">
        <f t="shared" ca="1" si="42"/>
        <v>-2</v>
      </c>
      <c r="BI41" s="344" t="s">
        <v>57</v>
      </c>
      <c r="BJ41" s="322" t="s">
        <v>90</v>
      </c>
    </row>
    <row r="42" spans="2:62" s="445" customFormat="1" ht="12.95" customHeight="1">
      <c r="B42" s="322" t="s">
        <v>90</v>
      </c>
      <c r="C42" s="344" t="s">
        <v>58</v>
      </c>
      <c r="D42" s="384">
        <v>90</v>
      </c>
      <c r="E42" s="305">
        <f>RANK(D42,$D$13:$D$42,0)</f>
        <v>16</v>
      </c>
      <c r="F42" s="319">
        <v>75.7</v>
      </c>
      <c r="G42" s="321">
        <f>RANK(F42,$F$13:$F$42,0)</f>
        <v>23</v>
      </c>
      <c r="H42" s="414">
        <v>436.82278992715658</v>
      </c>
      <c r="I42" s="415">
        <f t="shared" si="11"/>
        <v>11</v>
      </c>
      <c r="J42" s="318">
        <v>466.79</v>
      </c>
      <c r="K42" s="307">
        <f t="shared" si="12"/>
        <v>17</v>
      </c>
      <c r="L42" s="325">
        <v>0</v>
      </c>
      <c r="M42" s="416">
        <f t="shared" si="13"/>
        <v>18</v>
      </c>
      <c r="N42" s="318">
        <v>50</v>
      </c>
      <c r="O42" s="321">
        <f t="shared" si="14"/>
        <v>20</v>
      </c>
      <c r="P42" s="426">
        <v>35.1</v>
      </c>
      <c r="Q42" s="305">
        <f t="shared" si="15"/>
        <v>23</v>
      </c>
      <c r="R42" s="417">
        <v>35.1</v>
      </c>
      <c r="S42" s="418">
        <f t="shared" si="16"/>
        <v>23</v>
      </c>
      <c r="T42" s="384">
        <v>22.1</v>
      </c>
      <c r="U42" s="305">
        <f t="shared" si="17"/>
        <v>28</v>
      </c>
      <c r="V42" s="319">
        <v>22.1</v>
      </c>
      <c r="W42" s="307">
        <f t="shared" si="18"/>
        <v>28</v>
      </c>
      <c r="X42" s="332">
        <v>25.85</v>
      </c>
      <c r="Y42" s="326">
        <f t="shared" si="19"/>
        <v>25</v>
      </c>
      <c r="Z42" s="419">
        <v>24.39</v>
      </c>
      <c r="AA42" s="418">
        <f t="shared" si="20"/>
        <v>25</v>
      </c>
      <c r="AB42" s="387">
        <f t="shared" si="43"/>
        <v>20.166666666666668</v>
      </c>
      <c r="AC42" s="416">
        <f t="shared" si="8"/>
        <v>25</v>
      </c>
      <c r="AD42" s="319">
        <f t="shared" si="22"/>
        <v>22.666666666666668</v>
      </c>
      <c r="AE42" s="321">
        <f t="shared" si="23"/>
        <v>27</v>
      </c>
      <c r="AF42" s="384">
        <v>0.63</v>
      </c>
      <c r="AG42" s="416">
        <f t="shared" si="24"/>
        <v>18</v>
      </c>
      <c r="AH42" s="319">
        <v>0.62</v>
      </c>
      <c r="AI42" s="321">
        <f t="shared" si="25"/>
        <v>18</v>
      </c>
      <c r="AJ42" s="384">
        <v>0.29599999999999999</v>
      </c>
      <c r="AK42" s="305">
        <f t="shared" si="26"/>
        <v>20</v>
      </c>
      <c r="AL42" s="319">
        <v>0.75800000000000001</v>
      </c>
      <c r="AM42" s="321">
        <f t="shared" si="27"/>
        <v>17</v>
      </c>
      <c r="AN42" s="384">
        <f t="shared" si="44"/>
        <v>19</v>
      </c>
      <c r="AO42" s="305">
        <f t="shared" si="29"/>
        <v>19</v>
      </c>
      <c r="AP42" s="319">
        <f t="shared" si="30"/>
        <v>17.5</v>
      </c>
      <c r="AQ42" s="307">
        <f t="shared" si="31"/>
        <v>19</v>
      </c>
      <c r="AR42" s="384">
        <v>0.28000000000000003</v>
      </c>
      <c r="AS42" s="305">
        <f t="shared" si="32"/>
        <v>19</v>
      </c>
      <c r="AT42" s="319">
        <v>0.18</v>
      </c>
      <c r="AU42" s="307">
        <f t="shared" si="33"/>
        <v>20</v>
      </c>
      <c r="AV42" s="384">
        <v>-0.28999999999999998</v>
      </c>
      <c r="AW42" s="305">
        <f t="shared" si="34"/>
        <v>19</v>
      </c>
      <c r="AX42" s="319">
        <v>-0.28999999999999998</v>
      </c>
      <c r="AY42" s="307">
        <f t="shared" si="35"/>
        <v>18</v>
      </c>
      <c r="AZ42" s="384">
        <f t="shared" si="36"/>
        <v>19</v>
      </c>
      <c r="BA42" s="305">
        <f t="shared" si="37"/>
        <v>18</v>
      </c>
      <c r="BB42" s="319">
        <f t="shared" si="38"/>
        <v>19</v>
      </c>
      <c r="BC42" s="321">
        <f t="shared" si="39"/>
        <v>19</v>
      </c>
      <c r="BD42" s="384" cm="1">
        <f t="array" aca="1" ref="BD42" ca="1">SUMPRODUCT(--($D$7:$BC$7=BD$7),$D$3:$BC$3,$D42:$BC42)</f>
        <v>19.388888888888889</v>
      </c>
      <c r="BE42" s="305">
        <f t="shared" ca="1" si="40"/>
        <v>20</v>
      </c>
      <c r="BF42" s="319" cm="1">
        <f t="array" aca="1" ref="BF42" ca="1">ROUNDUP(SUMPRODUCT(--($D$7:$BC$7=BF$7),$D$3:$BC$3,$D42:$BC42),3)</f>
        <v>19.723000000000003</v>
      </c>
      <c r="BG42" s="321">
        <f t="shared" ca="1" si="41"/>
        <v>19</v>
      </c>
      <c r="BH42" s="451">
        <f t="shared" ca="1" si="42"/>
        <v>1</v>
      </c>
      <c r="BI42" s="345" t="s">
        <v>58</v>
      </c>
      <c r="BJ42" s="334" t="s">
        <v>90</v>
      </c>
    </row>
    <row r="43" spans="2:62" s="445" customFormat="1" ht="15" customHeight="1">
      <c r="B43" s="756" t="s">
        <v>347</v>
      </c>
      <c r="C43" s="837"/>
      <c r="D43" s="347">
        <f>SUM(D13:D42)</f>
        <v>2475.61</v>
      </c>
      <c r="E43" s="348"/>
      <c r="F43" s="348">
        <f>SUM(F13:F42)</f>
        <v>2887.35</v>
      </c>
      <c r="G43" s="391"/>
      <c r="H43" s="347">
        <f>SUM(H13:H42)</f>
        <v>15378.030658323536</v>
      </c>
      <c r="I43" s="348"/>
      <c r="J43" s="348">
        <f>SUM(J13:J42)</f>
        <v>11784.98</v>
      </c>
      <c r="K43" s="391"/>
      <c r="L43" s="390">
        <f>SUM(L13:L42)</f>
        <v>47766.939999999995</v>
      </c>
      <c r="M43" s="350"/>
      <c r="N43" s="348">
        <f>SUM(N13:N42)</f>
        <v>52315.009999999995</v>
      </c>
      <c r="O43" s="391"/>
      <c r="P43" s="347">
        <f>SUM(P13:P42)</f>
        <v>1699.6999999999996</v>
      </c>
      <c r="Q43" s="348"/>
      <c r="R43" s="348">
        <f>SUM(R13:R42)</f>
        <v>1699.6999999999996</v>
      </c>
      <c r="S43" s="391"/>
      <c r="T43" s="347">
        <f>SUM(T13:T42)</f>
        <v>1469.2999999999995</v>
      </c>
      <c r="U43" s="348"/>
      <c r="V43" s="348">
        <f>SUM(V13:V42)</f>
        <v>1469.2999999999995</v>
      </c>
      <c r="W43" s="391"/>
      <c r="X43" s="347">
        <f>SUM(X13:X42)</f>
        <v>464.90000000000003</v>
      </c>
      <c r="Y43" s="348"/>
      <c r="Z43" s="348">
        <f>SUM(Z13:Z42)</f>
        <v>459.51999999999992</v>
      </c>
      <c r="AA43" s="391"/>
      <c r="AB43" s="348"/>
      <c r="AC43" s="348"/>
      <c r="AD43" s="348"/>
      <c r="AE43" s="348"/>
      <c r="AF43" s="347">
        <f>SUM(AF13:AF42)</f>
        <v>18.950000000000003</v>
      </c>
      <c r="AG43" s="350"/>
      <c r="AH43" s="348">
        <f>SUM(AH13:AH42)</f>
        <v>19.050000000000004</v>
      </c>
      <c r="AI43" s="391"/>
      <c r="AJ43" s="347">
        <f>SUM(AJ13:AJ42)</f>
        <v>6.8580000000000014</v>
      </c>
      <c r="AK43" s="348"/>
      <c r="AL43" s="348">
        <f>SUM(AL13:AL42)</f>
        <v>22.474000000000004</v>
      </c>
      <c r="AM43" s="391"/>
      <c r="AN43" s="348"/>
      <c r="AO43" s="348"/>
      <c r="AP43" s="348"/>
      <c r="AQ43" s="348"/>
      <c r="AR43" s="347">
        <f>SUM(AR13:AR42)</f>
        <v>18.12</v>
      </c>
      <c r="AS43" s="348"/>
      <c r="AT43" s="348">
        <f>SUM(AT13:AT42)</f>
        <v>16.87</v>
      </c>
      <c r="AU43" s="391"/>
      <c r="AV43" s="347">
        <f>SUM(AV13:AV42)</f>
        <v>13.550000000000004</v>
      </c>
      <c r="AW43" s="348"/>
      <c r="AX43" s="348">
        <f>SUM(AX13:AX42)</f>
        <v>12.520000000000003</v>
      </c>
      <c r="AY43" s="391"/>
      <c r="AZ43" s="347"/>
      <c r="BA43" s="348"/>
      <c r="BB43" s="348"/>
      <c r="BC43" s="391"/>
      <c r="BD43" s="337"/>
      <c r="BE43" s="351"/>
      <c r="BF43" s="351"/>
      <c r="BG43" s="352"/>
      <c r="BH43" s="352"/>
      <c r="BI43" s="454"/>
      <c r="BJ43" s="455"/>
    </row>
    <row r="44" spans="2:62" s="445" customFormat="1">
      <c r="B44" s="758" t="s">
        <v>112</v>
      </c>
      <c r="C44" s="800"/>
      <c r="D44" s="353">
        <f>MIN(D13:D42)</f>
        <v>12.59</v>
      </c>
      <c r="E44" s="354"/>
      <c r="F44" s="354">
        <f>MIN(F13:F42)</f>
        <v>15.21</v>
      </c>
      <c r="G44" s="355"/>
      <c r="H44" s="353">
        <f>MIN(H13:H42)</f>
        <v>1.8539117538005192</v>
      </c>
      <c r="I44" s="354"/>
      <c r="J44" s="354">
        <f>MIN(J13:J42)</f>
        <v>1.46</v>
      </c>
      <c r="K44" s="355"/>
      <c r="L44" s="353">
        <f>MIN(L13:L42)</f>
        <v>0</v>
      </c>
      <c r="M44" s="354"/>
      <c r="N44" s="354">
        <f>MIN(N13:N42)</f>
        <v>0</v>
      </c>
      <c r="O44" s="355"/>
      <c r="P44" s="353">
        <f>MIN(P13:P42)</f>
        <v>12.5</v>
      </c>
      <c r="Q44" s="354"/>
      <c r="R44" s="354">
        <f>MIN(R13:R42)</f>
        <v>12.5</v>
      </c>
      <c r="S44" s="355"/>
      <c r="T44" s="353">
        <f>MIN(T13:T42)</f>
        <v>19.3</v>
      </c>
      <c r="U44" s="354"/>
      <c r="V44" s="354">
        <f>MIN(V13:V42)</f>
        <v>19.3</v>
      </c>
      <c r="W44" s="355"/>
      <c r="X44" s="353">
        <f>MIN(X13:X42)</f>
        <v>0.97</v>
      </c>
      <c r="Y44" s="354"/>
      <c r="Z44" s="354">
        <f>MIN(Z13:Z42)</f>
        <v>0.94</v>
      </c>
      <c r="AA44" s="355"/>
      <c r="AB44" s="354"/>
      <c r="AC44" s="354"/>
      <c r="AD44" s="354"/>
      <c r="AE44" s="354"/>
      <c r="AF44" s="353">
        <f>MIN(AF13:AF42)</f>
        <v>0.31</v>
      </c>
      <c r="AG44" s="354"/>
      <c r="AH44" s="354">
        <f>MIN(AH13:AH42)</f>
        <v>0.32</v>
      </c>
      <c r="AI44" s="355"/>
      <c r="AJ44" s="353">
        <f>MIN(AJ13:AJ42)</f>
        <v>1.6E-2</v>
      </c>
      <c r="AK44" s="354"/>
      <c r="AL44" s="354">
        <f>MIN(AL13:AL42)</f>
        <v>0.51100000000000001</v>
      </c>
      <c r="AM44" s="355"/>
      <c r="AN44" s="354"/>
      <c r="AO44" s="354"/>
      <c r="AP44" s="354"/>
      <c r="AQ44" s="354"/>
      <c r="AR44" s="353">
        <f>MIN(AR13:AR42)</f>
        <v>-1.72</v>
      </c>
      <c r="AS44" s="354"/>
      <c r="AT44" s="354">
        <f>MIN(AT13:AT42)</f>
        <v>-1.75</v>
      </c>
      <c r="AU44" s="355"/>
      <c r="AV44" s="353">
        <f>MIN(AV13:AV42)</f>
        <v>-1.55</v>
      </c>
      <c r="AW44" s="354"/>
      <c r="AX44" s="354">
        <f>MIN(AX13:AX42)</f>
        <v>-1.54</v>
      </c>
      <c r="AY44" s="355"/>
      <c r="AZ44" s="353"/>
      <c r="BA44" s="354"/>
      <c r="BB44" s="354"/>
      <c r="BC44" s="355"/>
      <c r="BD44" s="339"/>
      <c r="BE44" s="356"/>
      <c r="BF44" s="356"/>
      <c r="BG44" s="357"/>
      <c r="BH44" s="357"/>
      <c r="BI44" s="456"/>
    </row>
    <row r="45" spans="2:62" s="445" customFormat="1">
      <c r="B45" s="760" t="s">
        <v>113</v>
      </c>
      <c r="C45" s="801"/>
      <c r="D45" s="361">
        <f>MAX(D13:D42)</f>
        <v>117.07</v>
      </c>
      <c r="E45" s="359"/>
      <c r="F45" s="359">
        <f>MAX(F13:F42)</f>
        <v>145.93</v>
      </c>
      <c r="G45" s="360"/>
      <c r="H45" s="361">
        <f>MAX(H13:H42)</f>
        <v>1321.6469172764027</v>
      </c>
      <c r="I45" s="359"/>
      <c r="J45" s="359">
        <f>MAX(J13:J42)</f>
        <v>841.3</v>
      </c>
      <c r="K45" s="360"/>
      <c r="L45" s="361">
        <f>MAX(L13:L42)</f>
        <v>6867.2999999999993</v>
      </c>
      <c r="M45" s="359"/>
      <c r="N45" s="359">
        <f>MAX(N13:N42)</f>
        <v>8542.2000000000007</v>
      </c>
      <c r="O45" s="360"/>
      <c r="P45" s="361">
        <f>MAX(P13:P42)</f>
        <v>93.4</v>
      </c>
      <c r="Q45" s="359"/>
      <c r="R45" s="359">
        <f>MAX(R13:R42)</f>
        <v>93.4</v>
      </c>
      <c r="S45" s="360"/>
      <c r="T45" s="361">
        <f>MAX(T13:T42)</f>
        <v>66.8</v>
      </c>
      <c r="U45" s="359"/>
      <c r="V45" s="359">
        <f>MAX(V13:V42)</f>
        <v>66.8</v>
      </c>
      <c r="W45" s="360"/>
      <c r="X45" s="361">
        <f>MAX(X13:X42)</f>
        <v>46.82</v>
      </c>
      <c r="Y45" s="359"/>
      <c r="Z45" s="359">
        <f>MAX(Z13:Z42)</f>
        <v>46.86</v>
      </c>
      <c r="AA45" s="360"/>
      <c r="AB45" s="359"/>
      <c r="AC45" s="359"/>
      <c r="AD45" s="359"/>
      <c r="AE45" s="359"/>
      <c r="AF45" s="361">
        <f>MAX(AF13:AF42)</f>
        <v>0.88</v>
      </c>
      <c r="AG45" s="359"/>
      <c r="AH45" s="359">
        <f>MAX(AH13:AH42)</f>
        <v>0.9</v>
      </c>
      <c r="AI45" s="360"/>
      <c r="AJ45" s="361">
        <f>MAX(AJ13:AJ42)</f>
        <v>0.56399999999999995</v>
      </c>
      <c r="AK45" s="359"/>
      <c r="AL45" s="359">
        <f>MAX(AL13:AL42)</f>
        <v>0.92500000000000004</v>
      </c>
      <c r="AM45" s="360"/>
      <c r="AN45" s="359"/>
      <c r="AO45" s="359"/>
      <c r="AP45" s="359"/>
      <c r="AQ45" s="359"/>
      <c r="AR45" s="361">
        <f>MAX(AR13:AR42)</f>
        <v>1.96</v>
      </c>
      <c r="AS45" s="359"/>
      <c r="AT45" s="359">
        <f>MAX(AT13:AT42)</f>
        <v>1.94</v>
      </c>
      <c r="AU45" s="360"/>
      <c r="AV45" s="361">
        <f>MAX(AV13:AV42)</f>
        <v>2.27</v>
      </c>
      <c r="AW45" s="359"/>
      <c r="AX45" s="359">
        <f>MAX(AX13:AX42)</f>
        <v>2.25</v>
      </c>
      <c r="AY45" s="360"/>
      <c r="AZ45" s="361"/>
      <c r="BA45" s="359"/>
      <c r="BB45" s="359"/>
      <c r="BC45" s="360"/>
      <c r="BD45" s="341"/>
      <c r="BE45" s="427"/>
      <c r="BF45" s="427"/>
      <c r="BG45" s="428"/>
      <c r="BH45" s="428"/>
      <c r="BI45" s="457"/>
      <c r="BJ45" s="458"/>
    </row>
    <row r="46" spans="2:62" s="445" customFormat="1" ht="14.1" customHeight="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t="s">
        <v>422</v>
      </c>
      <c r="AL46" s="21"/>
      <c r="AM46" s="21"/>
      <c r="AN46" s="21"/>
      <c r="AO46" s="21"/>
      <c r="AP46" s="21"/>
      <c r="AQ46" s="21"/>
      <c r="AR46" s="21"/>
      <c r="AS46" s="21"/>
      <c r="AT46" s="21"/>
      <c r="AU46" s="21"/>
      <c r="AV46" s="21"/>
      <c r="AW46" s="21"/>
      <c r="AX46" s="21"/>
      <c r="AY46" s="21"/>
      <c r="BD46" s="21"/>
      <c r="BE46" s="21"/>
      <c r="BF46" s="21"/>
      <c r="BG46" s="21"/>
      <c r="BH46" s="21"/>
      <c r="BI46" s="21"/>
      <c r="BJ46" s="21"/>
    </row>
    <row r="47" spans="2:62" s="445" customFormat="1" ht="14.1" customHeight="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BD47" s="21"/>
      <c r="BE47" s="21"/>
      <c r="BF47" s="21"/>
      <c r="BG47" s="21"/>
      <c r="BH47" s="21"/>
      <c r="BI47" s="21"/>
      <c r="BJ47" s="21"/>
    </row>
    <row r="48" spans="2:62" s="445" customFormat="1" ht="14.1" customHeight="1">
      <c r="B48" s="21"/>
      <c r="C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row>
    <row r="49" spans="2:62" s="484" customFormat="1" ht="14.1" customHeight="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row>
    <row r="50" spans="2:62" s="445" customFormat="1" ht="14.1" customHeight="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row>
    <row r="52" spans="2:62">
      <c r="BD52" s="812"/>
      <c r="BE52" s="812"/>
      <c r="BF52" s="812"/>
      <c r="BG52" s="812"/>
      <c r="BH52" s="812"/>
    </row>
    <row r="53" spans="2:62">
      <c r="BD53" s="812"/>
      <c r="BE53" s="812"/>
      <c r="BF53" s="812"/>
      <c r="BG53" s="812"/>
      <c r="BH53" s="812"/>
    </row>
    <row r="54" spans="2:62">
      <c r="BD54" s="812"/>
      <c r="BE54" s="812"/>
      <c r="BF54" s="812"/>
      <c r="BG54" s="812"/>
      <c r="BH54" s="812"/>
    </row>
    <row r="55" spans="2:62">
      <c r="BD55" s="812"/>
      <c r="BE55" s="812"/>
      <c r="BF55" s="812"/>
      <c r="BG55" s="812"/>
      <c r="BH55" s="812"/>
    </row>
    <row r="56" spans="2:62">
      <c r="BD56" s="812"/>
      <c r="BE56" s="812"/>
      <c r="BF56" s="812"/>
      <c r="BG56" s="812"/>
      <c r="BH56" s="812"/>
    </row>
    <row r="57" spans="2:62">
      <c r="BD57" s="812"/>
      <c r="BE57" s="812"/>
      <c r="BF57" s="812"/>
      <c r="BG57" s="812"/>
      <c r="BH57" s="812"/>
    </row>
    <row r="58" spans="2:62">
      <c r="BD58" s="812"/>
      <c r="BE58" s="812"/>
      <c r="BF58" s="812"/>
      <c r="BG58" s="812"/>
      <c r="BH58" s="812"/>
    </row>
    <row r="59" spans="2:62">
      <c r="BD59" s="812"/>
      <c r="BE59" s="812"/>
      <c r="BF59" s="812"/>
      <c r="BG59" s="812"/>
      <c r="BH59" s="812"/>
    </row>
    <row r="60" spans="2:62">
      <c r="BD60" s="812"/>
      <c r="BE60" s="812"/>
      <c r="BF60" s="812"/>
      <c r="BG60" s="812"/>
      <c r="BH60" s="812"/>
    </row>
    <row r="61" spans="2:62">
      <c r="BD61" s="812"/>
      <c r="BE61" s="812"/>
      <c r="BF61" s="812"/>
      <c r="BG61" s="812"/>
      <c r="BH61" s="812"/>
    </row>
    <row r="62" spans="2:62">
      <c r="BD62" s="812"/>
      <c r="BE62" s="812"/>
      <c r="BF62" s="812"/>
      <c r="BG62" s="812"/>
      <c r="BH62" s="812"/>
    </row>
    <row r="63" spans="2:62">
      <c r="BD63" s="812"/>
      <c r="BE63" s="812"/>
      <c r="BF63" s="812"/>
      <c r="BG63" s="812"/>
      <c r="BH63" s="812"/>
    </row>
    <row r="64" spans="2:62">
      <c r="BD64" s="812"/>
      <c r="BE64" s="812"/>
      <c r="BF64" s="812"/>
      <c r="BG64" s="812"/>
      <c r="BH64" s="812"/>
    </row>
  </sheetData>
  <sheetProtection formatCells="0"/>
  <mergeCells count="55">
    <mergeCell ref="AF10:AI10"/>
    <mergeCell ref="AJ10:AM10"/>
    <mergeCell ref="X11:Y11"/>
    <mergeCell ref="AD11:AE11"/>
    <mergeCell ref="BI8:BI12"/>
    <mergeCell ref="AN10:AQ10"/>
    <mergeCell ref="AR10:AU10"/>
    <mergeCell ref="BJ8:BJ12"/>
    <mergeCell ref="D9:AE9"/>
    <mergeCell ref="AF9:AM9"/>
    <mergeCell ref="AR9:BC9"/>
    <mergeCell ref="BD9:BH10"/>
    <mergeCell ref="D10:G10"/>
    <mergeCell ref="AZ10:BC10"/>
    <mergeCell ref="H10:K10"/>
    <mergeCell ref="L10:O10"/>
    <mergeCell ref="P10:S10"/>
    <mergeCell ref="T10:W10"/>
    <mergeCell ref="X10:AA10"/>
    <mergeCell ref="AB10:AE10"/>
    <mergeCell ref="N11:O11"/>
    <mergeCell ref="P11:Q11"/>
    <mergeCell ref="R11:S11"/>
    <mergeCell ref="T11:U11"/>
    <mergeCell ref="V11:W11"/>
    <mergeCell ref="B45:C45"/>
    <mergeCell ref="BD52:BH64"/>
    <mergeCell ref="AZ11:BA11"/>
    <mergeCell ref="BB11:BC11"/>
    <mergeCell ref="BD11:BE11"/>
    <mergeCell ref="BF11:BG11"/>
    <mergeCell ref="BH11:BH12"/>
    <mergeCell ref="B43:C43"/>
    <mergeCell ref="AN11:AO11"/>
    <mergeCell ref="AP11:AQ11"/>
    <mergeCell ref="AR11:AS11"/>
    <mergeCell ref="AT11:AU11"/>
    <mergeCell ref="AV11:AW11"/>
    <mergeCell ref="B8:B12"/>
    <mergeCell ref="B44:C44"/>
    <mergeCell ref="C8:C12"/>
    <mergeCell ref="D8:BH8"/>
    <mergeCell ref="AX11:AY11"/>
    <mergeCell ref="AB11:AC11"/>
    <mergeCell ref="AJ11:AK11"/>
    <mergeCell ref="AL11:AM11"/>
    <mergeCell ref="AF11:AG11"/>
    <mergeCell ref="AH11:AI11"/>
    <mergeCell ref="AV10:AY10"/>
    <mergeCell ref="Z11:AA11"/>
    <mergeCell ref="D11:E11"/>
    <mergeCell ref="F11:G11"/>
    <mergeCell ref="H11:I11"/>
    <mergeCell ref="J11:K11"/>
    <mergeCell ref="L11:M11"/>
  </mergeCells>
  <conditionalFormatting sqref="BH13:BH42">
    <cfRule type="cellIs" dxfId="5" priority="1" operator="equal">
      <formula>0</formula>
    </cfRule>
    <cfRule type="cellIs" dxfId="4" priority="2" operator="greaterThan">
      <formula>0</formula>
    </cfRule>
    <cfRule type="cellIs" dxfId="3" priority="3" operator="lessThan">
      <formula>0</formula>
    </cfRule>
  </conditionalFormatting>
  <hyperlinks>
    <hyperlink ref="A6" location="rng_Cover_Copyright" display="Subject to terms and conditions" xr:uid="{61D5B32F-E10E-4836-B69F-F48E5E3549FD}"/>
  </hyperlink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59F8D-6C80-4299-AEAC-580279E186F8}">
  <sheetPr codeName="Sheet18"/>
  <dimension ref="A1:BD64"/>
  <sheetViews>
    <sheetView showGridLines="0" zoomScale="90" zoomScaleNormal="90" workbookViewId="0">
      <pane xSplit="3" ySplit="12" topLeftCell="D13" activePane="bottomRight" state="frozen"/>
      <selection activeCell="C61" sqref="C61"/>
      <selection pane="topRight" activeCell="C61" sqref="C61"/>
      <selection pane="bottomLeft" activeCell="C61" sqref="C61"/>
      <selection pane="bottomRight" activeCell="A2" sqref="A2"/>
    </sheetView>
  </sheetViews>
  <sheetFormatPr defaultColWidth="9.140625" defaultRowHeight="12.75"/>
  <cols>
    <col min="1" max="1" width="10.7109375" style="21" customWidth="1"/>
    <col min="2" max="2" width="16.42578125" style="21" customWidth="1"/>
    <col min="3" max="3" width="11.85546875" style="21" customWidth="1"/>
    <col min="4" max="51" width="9.140625" style="21" customWidth="1"/>
    <col min="52" max="52" width="11.42578125" style="21" bestFit="1" customWidth="1"/>
    <col min="53" max="53" width="9.140625" style="21"/>
    <col min="54" max="54" width="9.5703125" style="21" bestFit="1" customWidth="1"/>
    <col min="55" max="16384" width="9.140625" style="21"/>
  </cols>
  <sheetData>
    <row r="1" spans="1:56" s="24" customFormat="1" ht="38.1" customHeight="1">
      <c r="G1" s="24" t="str" cm="1">
        <f t="array" aca="1" ref="G1" ca="1">IFERROR(MID(CELL("filename",A1),FIND("]",CELL("filename",A1))+1,255),"(Becomes sheet name when saved; delete if not required.)")</f>
        <v>III</v>
      </c>
    </row>
    <row r="2" spans="1:56" s="34" customFormat="1"/>
    <row r="3" spans="1:56" s="34" customFormat="1" ht="15">
      <c r="A3" s="39" t="s">
        <v>19</v>
      </c>
      <c r="B3" s="20" t="s">
        <v>325</v>
      </c>
      <c r="D3" s="431">
        <f ca="1">IF(D6="Score",IFERROR(VLOOKUP($G$1&amp;D4&amp;D5,RawData!$A$3:$I$22,8,FALSE),0),0)</f>
        <v>0</v>
      </c>
      <c r="E3" s="431">
        <f>IF(E6="Score",IFERROR(VLOOKUP($G$1&amp;E4&amp;E5,RawData!$A$3:$I$22,8,FALSE),0),0)</f>
        <v>0</v>
      </c>
      <c r="F3" s="431">
        <f ca="1">IF(F6="Score",IFERROR(VLOOKUP($G$1&amp;F4&amp;F5,RawData!$A$3:$I$22,8,FALSE),0),0)</f>
        <v>0</v>
      </c>
      <c r="G3" s="431">
        <f>IF(G6="Score",IFERROR(VLOOKUP($G$1&amp;G4&amp;G5,RawData!$A$3:$I$22,8,FALSE),0),0)</f>
        <v>0</v>
      </c>
      <c r="H3" s="431">
        <f ca="1">IF(H6="Score",IFERROR(VLOOKUP($G$1&amp;H4&amp;H5,RawData!$A$3:$I$22,8,FALSE),0),0)</f>
        <v>0</v>
      </c>
      <c r="I3" s="431">
        <f>IF(I6="Score",IFERROR(VLOOKUP($G$1&amp;I4&amp;I5,RawData!$A$3:$I$22,8,FALSE),0),0)</f>
        <v>0</v>
      </c>
      <c r="J3" s="431">
        <f ca="1">IF(J6="Score",IFERROR(VLOOKUP($G$1&amp;J4&amp;J5,RawData!$A$3:$I$22,8,FALSE),0),0)</f>
        <v>0</v>
      </c>
      <c r="K3" s="431">
        <f>IF(K6="Score",IFERROR(VLOOKUP($G$1&amp;K4&amp;K5,RawData!$A$3:$I$22,8,FALSE),0),0)</f>
        <v>0</v>
      </c>
      <c r="L3" s="431">
        <f ca="1">IF(L6="Score",IFERROR(VLOOKUP($G$1&amp;L4&amp;L5,RawData!$A$3:$I$22,8,FALSE),0),0)</f>
        <v>0</v>
      </c>
      <c r="M3" s="431">
        <f>IF(M6="Score",IFERROR(VLOOKUP($G$1&amp;M4&amp;M5,RawData!$A$3:$I$22,8,FALSE),0),0)</f>
        <v>0</v>
      </c>
      <c r="N3" s="431">
        <f ca="1">IF(N6="Score",IFERROR(VLOOKUP($G$1&amp;N4&amp;N5,RawData!$A$3:$I$22,8,FALSE),0),0)</f>
        <v>0</v>
      </c>
      <c r="O3" s="431">
        <f>IF(O6="Score",IFERROR(VLOOKUP($G$1&amp;O4&amp;O5,RawData!$A$3:$I$22,8,FALSE),0),0)</f>
        <v>0</v>
      </c>
      <c r="P3" s="431">
        <f ca="1">IF(P6="Score",IFERROR(VLOOKUP($G$1&amp;P4&amp;P5,RawData!$A$3:$I$22,8,FALSE),0),0)</f>
        <v>0</v>
      </c>
      <c r="Q3" s="431">
        <f>IF(Q6="Score",IFERROR(VLOOKUP($G$1&amp;Q4&amp;Q5,RawData!$A$3:$I$22,8,FALSE),0),0)</f>
        <v>0</v>
      </c>
      <c r="R3" s="431">
        <f>IF(R6="Score",IFERROR(VLOOKUP($G$1&amp;R4&amp;R5,RawData!$A$3:$I$22,8,FALSE),0),0)</f>
        <v>0</v>
      </c>
      <c r="S3" s="431">
        <f>IF(S6="Score",IFERROR(VLOOKUP($G$1&amp;S4&amp;S5,RawData!$A$3:$I$22,8,FALSE),0),0)</f>
        <v>0</v>
      </c>
      <c r="T3" s="431">
        <f ca="1">IF(T6="Score",IFERROR(VLOOKUP($G$1&amp;T4&amp;T5,RawData!$A$3:$I$22,8,FALSE),0),0)</f>
        <v>0.33333333333333331</v>
      </c>
      <c r="U3" s="431">
        <f>IF(U6="Score",IFERROR(VLOOKUP($G$1&amp;U4&amp;U5,RawData!$A$3:$I$22,8,FALSE),0),0)</f>
        <v>0</v>
      </c>
      <c r="V3" s="431">
        <f ca="1">IF(V6="Score",IFERROR(VLOOKUP($G$1&amp;V4&amp;V5,RawData!$A$3:$I$22,8,FALSE),0),0)</f>
        <v>0.33333333333333331</v>
      </c>
      <c r="W3" s="431">
        <f>IF(W6="Score",IFERROR(VLOOKUP($G$1&amp;W4&amp;W5,RawData!$A$3:$I$22,8,FALSE),0),0)</f>
        <v>0</v>
      </c>
      <c r="X3" s="431">
        <f>IF(X6="Score",IFERROR(VLOOKUP($G$1&amp;X4&amp;X5,RawData!$A$3:$I$22,8,FALSE),0),0)</f>
        <v>0</v>
      </c>
      <c r="Y3" s="431">
        <f>IF(Y6="Score",IFERROR(VLOOKUP($G$1&amp;Y4&amp;Y5,RawData!$A$3:$I$22,8,FALSE),0),0)</f>
        <v>0</v>
      </c>
      <c r="Z3" s="431">
        <f>IF(Z6="Score",IFERROR(VLOOKUP($G$1&amp;Z4&amp;Z5,RawData!$A$3:$I$22,8,FALSE),0),0)</f>
        <v>0</v>
      </c>
      <c r="AA3" s="431">
        <f>IF(AA6="Score",IFERROR(VLOOKUP($G$1&amp;AA4&amp;AA5,RawData!$A$3:$I$22,8,FALSE),0),0)</f>
        <v>0</v>
      </c>
      <c r="AB3" s="431">
        <f ca="1">IF(AB6="Score",IFERROR(VLOOKUP($G$1&amp;AB4&amp;AB5,RawData!$A$3:$I$22,8,FALSE),0),0)</f>
        <v>0</v>
      </c>
      <c r="AC3" s="431">
        <f>IF(AC6="Score",IFERROR(VLOOKUP($G$1&amp;AC4&amp;AC5,RawData!$A$3:$I$22,8,FALSE),0),0)</f>
        <v>0</v>
      </c>
      <c r="AD3" s="431">
        <f ca="1">IF(AD6="Score",IFERROR(VLOOKUP($G$1&amp;AD4&amp;AD5,RawData!$A$3:$I$22,8,FALSE),0),0)</f>
        <v>0</v>
      </c>
      <c r="AE3" s="431">
        <f>IF(AE6="Score",IFERROR(VLOOKUP($G$1&amp;AE4&amp;AE5,RawData!$A$3:$I$22,8,FALSE),0),0)</f>
        <v>0</v>
      </c>
      <c r="AF3" s="431">
        <f ca="1">IF(AF6="Score",IFERROR(VLOOKUP($G$1&amp;AF4&amp;AF5,RawData!$A$3:$I$22,8,FALSE),0),0)</f>
        <v>0.33333333333333331</v>
      </c>
      <c r="AG3" s="431">
        <f>IF(AG6="Score",IFERROR(VLOOKUP($G$1&amp;AG4&amp;AG5,RawData!$A$3:$I$22,8,FALSE),0),0)</f>
        <v>0</v>
      </c>
      <c r="AH3" s="431">
        <f ca="1">IF(AH6="Score",IFERROR(VLOOKUP($G$1&amp;AH4&amp;AH5,RawData!$A$3:$I$22,8,FALSE),0),0)</f>
        <v>0.33333333333333331</v>
      </c>
      <c r="AI3" s="431">
        <f>IF(AI6="Score",IFERROR(VLOOKUP($G$1&amp;AI4&amp;AI5,RawData!$A$3:$I$22,8,FALSE),0),0)</f>
        <v>0</v>
      </c>
      <c r="AJ3" s="431">
        <f>IF(AJ6="Score",IFERROR(VLOOKUP($G$1&amp;AJ4&amp;AJ5,RawData!$A$3:$I$22,8,FALSE),0),0)</f>
        <v>0</v>
      </c>
      <c r="AK3" s="431">
        <f>IF(AK6="Score",IFERROR(VLOOKUP($G$1&amp;AK4&amp;AK5,RawData!$A$3:$I$22,8,FALSE),0),0)</f>
        <v>0</v>
      </c>
      <c r="AL3" s="431">
        <f ca="1">IF(AL6="Score",IFERROR(VLOOKUP($G$1&amp;AL4&amp;AL5,RawData!$A$3:$I$22,8,FALSE),0),0)</f>
        <v>0</v>
      </c>
      <c r="AM3" s="431">
        <f>IF(AM6="Score",IFERROR(VLOOKUP($G$1&amp;AM4&amp;AM5,RawData!$A$3:$I$22,8,FALSE),0),0)</f>
        <v>0</v>
      </c>
      <c r="AN3" s="431">
        <f ca="1">IF(AN6="Score",IFERROR(VLOOKUP($G$1&amp;AN4&amp;AN5,RawData!$A$3:$I$22,8,FALSE),0),0)</f>
        <v>0</v>
      </c>
      <c r="AO3" s="431">
        <f>IF(AO6="Score",IFERROR(VLOOKUP($G$1&amp;AO4&amp;AO5,RawData!$A$3:$I$22,8,FALSE),0),0)</f>
        <v>0</v>
      </c>
      <c r="AP3" s="431">
        <f ca="1">IF(AP6="Score",IFERROR(VLOOKUP($G$1&amp;AP4&amp;AP5,RawData!$A$3:$I$22,8,FALSE),0),0)</f>
        <v>0</v>
      </c>
      <c r="AQ3" s="431">
        <f>IF(AQ6="Score",IFERROR(VLOOKUP($G$1&amp;AQ4&amp;AQ5,RawData!$A$3:$I$22,8,FALSE),0),0)</f>
        <v>0</v>
      </c>
      <c r="AR3" s="431">
        <f>IF(AR6="Score",IFERROR(VLOOKUP($G$1&amp;AR4&amp;AR5,RawData!$A$3:$I$22,8,FALSE),0),0)</f>
        <v>0</v>
      </c>
      <c r="AS3" s="431">
        <f>IF(AS6="Score",IFERROR(VLOOKUP($G$1&amp;AS4&amp;AS5,RawData!$A$3:$I$22,8,FALSE),0),0)</f>
        <v>0</v>
      </c>
      <c r="AT3" s="431">
        <f>IF(AT6="Score",IFERROR(VLOOKUP($G$1&amp;AT4&amp;AT5,RawData!$A$3:$I$22,8,FALSE),0),0)</f>
        <v>0</v>
      </c>
      <c r="AU3" s="431">
        <f>IF(AU6="Score",IFERROR(VLOOKUP($G$1&amp;AU4&amp;AU5,RawData!$A$3:$I$22,8,FALSE),0),0)</f>
        <v>0</v>
      </c>
      <c r="AV3" s="431">
        <f ca="1">IF(AV6="Score",IFERROR(VLOOKUP($G$1&amp;AV4&amp;AV5,RawData!$A$3:$I$22,8,FALSE),0),0)</f>
        <v>0.33333333333333331</v>
      </c>
      <c r="AW3" s="431">
        <f>IF(AW6="Score",IFERROR(VLOOKUP($G$1&amp;AW4&amp;AW5,RawData!$A$3:$I$22,8,FALSE),0),0)</f>
        <v>0</v>
      </c>
      <c r="AX3" s="431">
        <f ca="1">IF(AX6="Score",IFERROR(VLOOKUP($G$1&amp;AX4&amp;AX5,RawData!$A$3:$I$22,8,FALSE),0),0)</f>
        <v>0.33333333333333331</v>
      </c>
      <c r="AY3" s="431">
        <f>IF(AY6="Score",IFERROR(VLOOKUP($G$1&amp;AY4&amp;AY5,RawData!$A$3:$I$22,8,FALSE),0),0)</f>
        <v>0</v>
      </c>
      <c r="AZ3" s="431">
        <f ca="1">IF(AZ6="Score",IFERROR(VLOOKUP($G$1&amp;AZ4&amp;AZ5,RawData!$A$3:$I$22,8,FALSE),0),0)</f>
        <v>0</v>
      </c>
      <c r="BA3" s="431">
        <f>IF(BA6="Score",IFERROR(VLOOKUP($G$1&amp;BA4&amp;BA5,RawData!$A$3:$I$22,8,FALSE),0),0)</f>
        <v>0</v>
      </c>
      <c r="BB3" s="431">
        <f ca="1">IF(BB6="Score",IFERROR(VLOOKUP($G$1&amp;BB4&amp;BB5,RawData!$A$3:$I$22,8,FALSE),0),0)</f>
        <v>0</v>
      </c>
      <c r="BC3" s="431">
        <f>IF(BC6="Score",IFERROR(VLOOKUP($G$1&amp;BC4&amp;BC5,RawData!$A$3:$I$22,8,FALSE),0),0)</f>
        <v>0</v>
      </c>
      <c r="BD3" s="431">
        <f>IF(BD6="Score",IFERROR(VLOOKUP($G$1&amp;BD4&amp;BD5,RawData!$A$3:$I$22,8,FALSE),0),0)</f>
        <v>0</v>
      </c>
    </row>
    <row r="4" spans="1:56" s="34" customFormat="1">
      <c r="A4" s="39" t="s">
        <v>20</v>
      </c>
      <c r="B4" s="22"/>
      <c r="D4" s="34" t="str">
        <f>IF(D9="",C5,D9)</f>
        <v>Industry</v>
      </c>
      <c r="E4" s="34" t="str">
        <f t="shared" ref="E4:AJ4" si="0">IF(E9="",D4,E9)</f>
        <v>Industry</v>
      </c>
      <c r="F4" s="34" t="str">
        <f t="shared" si="0"/>
        <v>Industry</v>
      </c>
      <c r="G4" s="34" t="str">
        <f t="shared" si="0"/>
        <v>Industry</v>
      </c>
      <c r="H4" s="34" t="str">
        <f t="shared" si="0"/>
        <v>Industry</v>
      </c>
      <c r="I4" s="34" t="str">
        <f t="shared" si="0"/>
        <v>Industry</v>
      </c>
      <c r="J4" s="34" t="str">
        <f t="shared" si="0"/>
        <v>Industry</v>
      </c>
      <c r="K4" s="34" t="str">
        <f t="shared" si="0"/>
        <v>Industry</v>
      </c>
      <c r="L4" s="34" t="str">
        <f t="shared" si="0"/>
        <v>Industry</v>
      </c>
      <c r="M4" s="34" t="str">
        <f t="shared" si="0"/>
        <v>Industry</v>
      </c>
      <c r="N4" s="34" t="str">
        <f t="shared" si="0"/>
        <v>Industry</v>
      </c>
      <c r="O4" s="34" t="str">
        <f t="shared" si="0"/>
        <v>Industry</v>
      </c>
      <c r="P4" s="34" t="str">
        <f t="shared" si="0"/>
        <v>Industry</v>
      </c>
      <c r="Q4" s="34" t="str">
        <f t="shared" si="0"/>
        <v>Industry</v>
      </c>
      <c r="R4" s="34" t="str">
        <f t="shared" si="0"/>
        <v>Industry</v>
      </c>
      <c r="S4" s="34" t="str">
        <f t="shared" si="0"/>
        <v>Industry</v>
      </c>
      <c r="T4" s="34" t="str">
        <f t="shared" si="0"/>
        <v>Industry</v>
      </c>
      <c r="U4" s="34" t="str">
        <f t="shared" si="0"/>
        <v>Industry</v>
      </c>
      <c r="V4" s="34" t="str">
        <f t="shared" si="0"/>
        <v>Industry</v>
      </c>
      <c r="W4" s="34" t="str">
        <f t="shared" si="0"/>
        <v>Industry</v>
      </c>
      <c r="X4" s="34" t="str">
        <f t="shared" si="0"/>
        <v>Infrastructure</v>
      </c>
      <c r="Y4" s="34" t="str">
        <f t="shared" si="0"/>
        <v>Infrastructure</v>
      </c>
      <c r="Z4" s="34" t="str">
        <f t="shared" si="0"/>
        <v>Infrastructure</v>
      </c>
      <c r="AA4" s="34" t="str">
        <f t="shared" si="0"/>
        <v>Infrastructure</v>
      </c>
      <c r="AB4" s="34" t="str">
        <f t="shared" si="0"/>
        <v>Infrastructure</v>
      </c>
      <c r="AC4" s="34" t="str">
        <f t="shared" si="0"/>
        <v>Infrastructure</v>
      </c>
      <c r="AD4" s="34" t="str">
        <f t="shared" si="0"/>
        <v>Infrastructure</v>
      </c>
      <c r="AE4" s="34" t="str">
        <f t="shared" si="0"/>
        <v>Infrastructure</v>
      </c>
      <c r="AF4" s="34" t="str">
        <f t="shared" si="0"/>
        <v>Infrastructure</v>
      </c>
      <c r="AG4" s="34" t="str">
        <f t="shared" si="0"/>
        <v>Infrastructure</v>
      </c>
      <c r="AH4" s="34" t="str">
        <f t="shared" si="0"/>
        <v>Infrastructure</v>
      </c>
      <c r="AI4" s="34" t="str">
        <f t="shared" si="0"/>
        <v>Infrastructure</v>
      </c>
      <c r="AJ4" s="34" t="str">
        <f t="shared" si="0"/>
        <v>Innovation</v>
      </c>
      <c r="AK4" s="34" t="str">
        <f t="shared" ref="AK4:BD4" si="1">IF(AK9="",AJ4,AK9)</f>
        <v>Innovation</v>
      </c>
      <c r="AL4" s="34" t="str">
        <f t="shared" si="1"/>
        <v>Innovation</v>
      </c>
      <c r="AM4" s="34" t="str">
        <f t="shared" si="1"/>
        <v>Innovation</v>
      </c>
      <c r="AN4" s="34" t="str">
        <f t="shared" si="1"/>
        <v>Innovation</v>
      </c>
      <c r="AO4" s="34" t="str">
        <f t="shared" si="1"/>
        <v>Innovation</v>
      </c>
      <c r="AP4" s="34" t="str">
        <f t="shared" si="1"/>
        <v>Innovation</v>
      </c>
      <c r="AQ4" s="34" t="str">
        <f t="shared" si="1"/>
        <v>Innovation</v>
      </c>
      <c r="AR4" s="34" t="str">
        <f t="shared" si="1"/>
        <v>Innovation</v>
      </c>
      <c r="AS4" s="34" t="str">
        <f t="shared" si="1"/>
        <v>Innovation</v>
      </c>
      <c r="AT4" s="34" t="str">
        <f t="shared" si="1"/>
        <v>Innovation</v>
      </c>
      <c r="AU4" s="34" t="str">
        <f t="shared" si="1"/>
        <v>Innovation</v>
      </c>
      <c r="AV4" s="34" t="str">
        <f t="shared" si="1"/>
        <v>Innovation</v>
      </c>
      <c r="AW4" s="34" t="str">
        <f t="shared" si="1"/>
        <v>Innovation</v>
      </c>
      <c r="AX4" s="34" t="str">
        <f t="shared" si="1"/>
        <v>Innovation</v>
      </c>
      <c r="AY4" s="34" t="str">
        <f t="shared" si="1"/>
        <v>Innovation</v>
      </c>
      <c r="AZ4" s="34" t="str">
        <f t="shared" si="1"/>
        <v>Overall</v>
      </c>
      <c r="BA4" s="34" t="str">
        <f t="shared" si="1"/>
        <v>Overall</v>
      </c>
      <c r="BB4" s="34" t="str">
        <f t="shared" si="1"/>
        <v>Overall</v>
      </c>
      <c r="BC4" s="34" t="str">
        <f t="shared" si="1"/>
        <v>Overall</v>
      </c>
      <c r="BD4" s="34" t="str">
        <f t="shared" si="1"/>
        <v>Overall</v>
      </c>
    </row>
    <row r="5" spans="1:56" s="34" customFormat="1">
      <c r="A5" s="39" t="s">
        <v>21</v>
      </c>
      <c r="B5" s="22"/>
      <c r="D5" s="21" t="str">
        <f>IF(D10="",C6,D10)</f>
        <v>Investment Attractiveness</v>
      </c>
      <c r="E5" s="21" t="str">
        <f t="shared" ref="E5:AJ5" si="2">IF(E10="",D5,E10)</f>
        <v>Investment Attractiveness</v>
      </c>
      <c r="F5" s="21" t="str">
        <f t="shared" si="2"/>
        <v>Investment Attractiveness</v>
      </c>
      <c r="G5" s="21" t="str">
        <f t="shared" si="2"/>
        <v>Investment Attractiveness</v>
      </c>
      <c r="H5" s="21" t="str">
        <f t="shared" si="2"/>
        <v>Sector Policy</v>
      </c>
      <c r="I5" s="21" t="str">
        <f t="shared" si="2"/>
        <v>Sector Policy</v>
      </c>
      <c r="J5" s="21" t="str">
        <f t="shared" si="2"/>
        <v>Sector Policy</v>
      </c>
      <c r="K5" s="21" t="str">
        <f t="shared" si="2"/>
        <v>Sector Policy</v>
      </c>
      <c r="L5" s="21" t="str">
        <f t="shared" si="2"/>
        <v>Trade Freedom</v>
      </c>
      <c r="M5" s="21" t="str">
        <f t="shared" si="2"/>
        <v>Trade Freedom</v>
      </c>
      <c r="N5" s="21" t="str">
        <f t="shared" si="2"/>
        <v>Trade Freedom</v>
      </c>
      <c r="O5" s="21" t="str">
        <f t="shared" si="2"/>
        <v>Trade Freedom</v>
      </c>
      <c r="P5" s="34" t="str">
        <f t="shared" si="2"/>
        <v>FDI Restrictiveness</v>
      </c>
      <c r="Q5" s="34" t="str">
        <f t="shared" si="2"/>
        <v>FDI Restrictiveness</v>
      </c>
      <c r="R5" s="34" t="str">
        <f t="shared" si="2"/>
        <v>FDI Restrictiveness</v>
      </c>
      <c r="S5" s="34" t="str">
        <f t="shared" si="2"/>
        <v>FDI Restrictiveness</v>
      </c>
      <c r="T5" s="34" t="str">
        <f t="shared" si="2"/>
        <v>Sub-Catergory Total</v>
      </c>
      <c r="U5" s="34" t="str">
        <f t="shared" si="2"/>
        <v>Sub-Catergory Total</v>
      </c>
      <c r="V5" s="34" t="str">
        <f t="shared" si="2"/>
        <v>Sub-Catergory Total</v>
      </c>
      <c r="W5" s="34" t="str">
        <f t="shared" si="2"/>
        <v>Sub-Catergory Total</v>
      </c>
      <c r="X5" s="34" t="str">
        <f t="shared" si="2"/>
        <v>Commercial Electricity Cost</v>
      </c>
      <c r="Y5" s="34" t="str">
        <f t="shared" si="2"/>
        <v>Commercial Electricity Cost</v>
      </c>
      <c r="Z5" s="34" t="str">
        <f t="shared" si="2"/>
        <v>Commercial Electricity Cost</v>
      </c>
      <c r="AA5" s="34" t="str">
        <f t="shared" si="2"/>
        <v>Commercial Electricity Cost</v>
      </c>
      <c r="AB5" s="34" t="str">
        <f t="shared" si="2"/>
        <v>Infrastructure</v>
      </c>
      <c r="AC5" s="34" t="str">
        <f t="shared" si="2"/>
        <v>Infrastructure</v>
      </c>
      <c r="AD5" s="34" t="str">
        <f t="shared" si="2"/>
        <v>Infrastructure</v>
      </c>
      <c r="AE5" s="34" t="str">
        <f t="shared" si="2"/>
        <v>Infrastructure</v>
      </c>
      <c r="AF5" s="34" t="str">
        <f t="shared" si="2"/>
        <v>Sub-Catergory Total</v>
      </c>
      <c r="AG5" s="34" t="str">
        <f t="shared" si="2"/>
        <v>Sub-Catergory Total</v>
      </c>
      <c r="AH5" s="34" t="str">
        <f t="shared" si="2"/>
        <v>Sub-Catergory Total</v>
      </c>
      <c r="AI5" s="34" t="str">
        <f t="shared" si="2"/>
        <v>Sub-Catergory Total</v>
      </c>
      <c r="AJ5" s="34" t="str">
        <f t="shared" si="2"/>
        <v>R&amp;D</v>
      </c>
      <c r="AK5" s="34" t="str">
        <f t="shared" ref="AK5:BD5" si="3">IF(AK10="",AJ5,AK10)</f>
        <v>R&amp;D</v>
      </c>
      <c r="AL5" s="34" t="str">
        <f t="shared" si="3"/>
        <v>R&amp;D</v>
      </c>
      <c r="AM5" s="34" t="str">
        <f t="shared" si="3"/>
        <v>R&amp;D</v>
      </c>
      <c r="AN5" s="34" t="str">
        <f t="shared" si="3"/>
        <v>Knowledge Creation</v>
      </c>
      <c r="AO5" s="34" t="str">
        <f t="shared" si="3"/>
        <v>Knowledge Creation</v>
      </c>
      <c r="AP5" s="34" t="str">
        <f t="shared" si="3"/>
        <v>Knowledge Creation</v>
      </c>
      <c r="AQ5" s="34" t="str">
        <f t="shared" si="3"/>
        <v>Knowledge Creation</v>
      </c>
      <c r="AR5" s="34" t="str">
        <f t="shared" si="3"/>
        <v>STEM Graduates</v>
      </c>
      <c r="AS5" s="34" t="str">
        <f t="shared" si="3"/>
        <v>STEM Graduates</v>
      </c>
      <c r="AT5" s="34" t="str">
        <f t="shared" si="3"/>
        <v>STEM Graduates</v>
      </c>
      <c r="AU5" s="34" t="str">
        <f t="shared" si="3"/>
        <v>STEM Graduates</v>
      </c>
      <c r="AV5" s="34" t="str">
        <f t="shared" si="3"/>
        <v>Sub-Catergory Total</v>
      </c>
      <c r="AW5" s="34" t="str">
        <f t="shared" si="3"/>
        <v>Sub-Catergory Total</v>
      </c>
      <c r="AX5" s="34" t="str">
        <f t="shared" si="3"/>
        <v>Sub-Catergory Total</v>
      </c>
      <c r="AY5" s="34" t="str">
        <f t="shared" si="3"/>
        <v>Sub-Catergory Total</v>
      </c>
      <c r="AZ5" s="34" t="str">
        <f t="shared" si="3"/>
        <v>Sub-Catergory Total</v>
      </c>
      <c r="BA5" s="34" t="str">
        <f t="shared" si="3"/>
        <v>Sub-Catergory Total</v>
      </c>
      <c r="BB5" s="34" t="str">
        <f t="shared" si="3"/>
        <v>Sub-Catergory Total</v>
      </c>
      <c r="BC5" s="34" t="str">
        <f t="shared" si="3"/>
        <v>Sub-Catergory Total</v>
      </c>
      <c r="BD5" s="34" t="str">
        <f t="shared" si="3"/>
        <v>Sub-Catergory Total</v>
      </c>
    </row>
    <row r="6" spans="1:56" s="34" customFormat="1">
      <c r="A6" s="40" t="s">
        <v>0</v>
      </c>
      <c r="B6" s="21"/>
      <c r="C6" s="21"/>
      <c r="D6" s="34" t="str">
        <f t="shared" ref="D6:BC6" si="4">D12</f>
        <v>Score</v>
      </c>
      <c r="E6" s="34" t="str">
        <f t="shared" si="4"/>
        <v>Rank</v>
      </c>
      <c r="F6" s="34" t="str">
        <f t="shared" si="4"/>
        <v>Score</v>
      </c>
      <c r="G6" s="34" t="str">
        <f t="shared" si="4"/>
        <v>Rank</v>
      </c>
      <c r="H6" s="34" t="str">
        <f t="shared" si="4"/>
        <v>Score</v>
      </c>
      <c r="I6" s="34" t="str">
        <f t="shared" si="4"/>
        <v>Rank</v>
      </c>
      <c r="J6" s="34" t="str">
        <f t="shared" si="4"/>
        <v>Score</v>
      </c>
      <c r="K6" s="34" t="str">
        <f t="shared" si="4"/>
        <v>Rank</v>
      </c>
      <c r="L6" s="34" t="str">
        <f t="shared" si="4"/>
        <v>Score</v>
      </c>
      <c r="M6" s="34" t="str">
        <f t="shared" si="4"/>
        <v>Rank</v>
      </c>
      <c r="N6" s="34" t="str">
        <f t="shared" si="4"/>
        <v>Score</v>
      </c>
      <c r="O6" s="34" t="str">
        <f t="shared" si="4"/>
        <v>Rank</v>
      </c>
      <c r="P6" s="34" t="str">
        <f t="shared" si="4"/>
        <v>Score</v>
      </c>
      <c r="Q6" s="34" t="str">
        <f t="shared" si="4"/>
        <v>Rank</v>
      </c>
      <c r="R6" s="34" t="str">
        <f t="shared" si="4"/>
        <v>Percentage of gross domestic product</v>
      </c>
      <c r="S6" s="34" t="str">
        <f t="shared" si="4"/>
        <v>Rank</v>
      </c>
      <c r="T6" s="34" t="str">
        <f t="shared" si="4"/>
        <v>Score</v>
      </c>
      <c r="U6" s="34" t="str">
        <f t="shared" si="4"/>
        <v>Rank</v>
      </c>
      <c r="V6" s="34" t="str">
        <f t="shared" si="4"/>
        <v>Score</v>
      </c>
      <c r="W6" s="34" t="str">
        <f t="shared" si="4"/>
        <v>Rank</v>
      </c>
      <c r="X6" s="34" t="str">
        <f t="shared" si="4"/>
        <v>$ per megawatt-hour</v>
      </c>
      <c r="Y6" s="34" t="str">
        <f t="shared" si="4"/>
        <v>Rank</v>
      </c>
      <c r="Z6" s="34" t="str">
        <f t="shared" si="4"/>
        <v>$ per megawatt-hour</v>
      </c>
      <c r="AA6" s="34" t="str">
        <f t="shared" si="4"/>
        <v>Rank</v>
      </c>
      <c r="AB6" s="34" t="str">
        <f t="shared" si="4"/>
        <v>Score</v>
      </c>
      <c r="AC6" s="34" t="str">
        <f t="shared" si="4"/>
        <v>Rank</v>
      </c>
      <c r="AD6" s="34" t="str">
        <f t="shared" si="4"/>
        <v>Score</v>
      </c>
      <c r="AE6" s="34" t="str">
        <f t="shared" si="4"/>
        <v>Rank</v>
      </c>
      <c r="AF6" s="34" t="str">
        <f t="shared" si="4"/>
        <v>Score</v>
      </c>
      <c r="AG6" s="34" t="str">
        <f t="shared" si="4"/>
        <v>Rank</v>
      </c>
      <c r="AH6" s="34" t="str">
        <f t="shared" si="4"/>
        <v>Score</v>
      </c>
      <c r="AI6" s="34" t="str">
        <f t="shared" si="4"/>
        <v>Rank</v>
      </c>
      <c r="AJ6" s="34" t="str">
        <f t="shared" si="4"/>
        <v>Percentage of gross domestic product</v>
      </c>
      <c r="AK6" s="34" t="str">
        <f t="shared" si="4"/>
        <v>Rank</v>
      </c>
      <c r="AL6" s="34" t="str">
        <f t="shared" si="4"/>
        <v>Score</v>
      </c>
      <c r="AM6" s="34" t="str">
        <f t="shared" si="4"/>
        <v>Rank</v>
      </c>
      <c r="AN6" s="34" t="str">
        <f t="shared" si="4"/>
        <v>Score</v>
      </c>
      <c r="AO6" s="34" t="str">
        <f t="shared" si="4"/>
        <v>Rank</v>
      </c>
      <c r="AP6" s="34" t="str">
        <f t="shared" si="4"/>
        <v>Score</v>
      </c>
      <c r="AQ6" s="34" t="str">
        <f t="shared" si="4"/>
        <v>Rank</v>
      </c>
      <c r="AR6" s="34" t="str">
        <f t="shared" si="4"/>
        <v>Percentage</v>
      </c>
      <c r="AS6" s="34" t="str">
        <f t="shared" si="4"/>
        <v>Rank</v>
      </c>
      <c r="AT6" s="34" t="str">
        <f t="shared" si="4"/>
        <v>Percentage</v>
      </c>
      <c r="AU6" s="34" t="str">
        <f t="shared" si="4"/>
        <v>Rank</v>
      </c>
      <c r="AV6" s="34" t="str">
        <f t="shared" si="4"/>
        <v>Score</v>
      </c>
      <c r="AW6" s="34" t="str">
        <f t="shared" si="4"/>
        <v>Rank</v>
      </c>
      <c r="AX6" s="34" t="str">
        <f t="shared" si="4"/>
        <v>Score</v>
      </c>
      <c r="AY6" s="34" t="str">
        <f t="shared" si="4"/>
        <v>Rank</v>
      </c>
      <c r="AZ6" s="34" t="str">
        <f t="shared" si="4"/>
        <v>Score</v>
      </c>
      <c r="BA6" s="34" t="str">
        <f t="shared" si="4"/>
        <v>Rank</v>
      </c>
      <c r="BB6" s="34" t="str">
        <f t="shared" si="4"/>
        <v>Score</v>
      </c>
      <c r="BC6" s="34" t="str">
        <f t="shared" si="4"/>
        <v>Rank</v>
      </c>
      <c r="BD6" s="34">
        <f>BD12</f>
        <v>0</v>
      </c>
    </row>
    <row r="7" spans="1:56">
      <c r="D7" s="21">
        <f t="shared" ref="D7:BB7" si="5">IF(D11="",C7,D11)</f>
        <v>2022</v>
      </c>
      <c r="E7" s="21">
        <f t="shared" si="5"/>
        <v>2022</v>
      </c>
      <c r="F7" s="21">
        <f t="shared" si="5"/>
        <v>2023</v>
      </c>
      <c r="G7" s="21">
        <f t="shared" si="5"/>
        <v>2023</v>
      </c>
      <c r="H7" s="21">
        <f t="shared" si="5"/>
        <v>2022</v>
      </c>
      <c r="I7" s="21">
        <f t="shared" si="5"/>
        <v>2022</v>
      </c>
      <c r="J7" s="21">
        <f t="shared" si="5"/>
        <v>2023</v>
      </c>
      <c r="K7" s="21">
        <f t="shared" si="5"/>
        <v>2023</v>
      </c>
      <c r="L7" s="21">
        <f t="shared" si="5"/>
        <v>2022</v>
      </c>
      <c r="M7" s="21">
        <f t="shared" si="5"/>
        <v>2022</v>
      </c>
      <c r="N7" s="21">
        <f t="shared" si="5"/>
        <v>2023</v>
      </c>
      <c r="O7" s="21">
        <f t="shared" si="5"/>
        <v>2023</v>
      </c>
      <c r="P7" s="21">
        <f t="shared" si="5"/>
        <v>2022</v>
      </c>
      <c r="Q7" s="21">
        <f t="shared" si="5"/>
        <v>2022</v>
      </c>
      <c r="R7" s="21">
        <f t="shared" si="5"/>
        <v>2023</v>
      </c>
      <c r="S7" s="21">
        <f t="shared" si="5"/>
        <v>2023</v>
      </c>
      <c r="T7" s="21">
        <f t="shared" si="5"/>
        <v>2022</v>
      </c>
      <c r="U7" s="21">
        <f t="shared" si="5"/>
        <v>2022</v>
      </c>
      <c r="V7" s="21">
        <f t="shared" si="5"/>
        <v>2023</v>
      </c>
      <c r="W7" s="21">
        <f t="shared" si="5"/>
        <v>2023</v>
      </c>
      <c r="X7" s="21">
        <f t="shared" si="5"/>
        <v>2022</v>
      </c>
      <c r="Y7" s="21">
        <f t="shared" si="5"/>
        <v>2022</v>
      </c>
      <c r="Z7" s="21">
        <f t="shared" si="5"/>
        <v>2023</v>
      </c>
      <c r="AA7" s="21">
        <f t="shared" si="5"/>
        <v>2023</v>
      </c>
      <c r="AB7" s="21">
        <f t="shared" si="5"/>
        <v>2022</v>
      </c>
      <c r="AC7" s="21">
        <f t="shared" si="5"/>
        <v>2022</v>
      </c>
      <c r="AD7" s="21">
        <f t="shared" si="5"/>
        <v>2023</v>
      </c>
      <c r="AE7" s="21">
        <f t="shared" si="5"/>
        <v>2023</v>
      </c>
      <c r="AF7" s="21">
        <f t="shared" si="5"/>
        <v>2022</v>
      </c>
      <c r="AG7" s="21">
        <f t="shared" si="5"/>
        <v>2022</v>
      </c>
      <c r="AH7" s="21">
        <f t="shared" si="5"/>
        <v>2023</v>
      </c>
      <c r="AI7" s="21">
        <f t="shared" si="5"/>
        <v>2023</v>
      </c>
      <c r="AJ7" s="21">
        <f t="shared" si="5"/>
        <v>2022</v>
      </c>
      <c r="AK7" s="21">
        <f t="shared" si="5"/>
        <v>2022</v>
      </c>
      <c r="AL7" s="21">
        <f t="shared" si="5"/>
        <v>2023</v>
      </c>
      <c r="AM7" s="21">
        <f t="shared" si="5"/>
        <v>2023</v>
      </c>
      <c r="AN7" s="21">
        <f t="shared" si="5"/>
        <v>2022</v>
      </c>
      <c r="AO7" s="21">
        <f t="shared" si="5"/>
        <v>2022</v>
      </c>
      <c r="AP7" s="21">
        <f t="shared" si="5"/>
        <v>2023</v>
      </c>
      <c r="AQ7" s="21">
        <f t="shared" si="5"/>
        <v>2023</v>
      </c>
      <c r="AR7" s="21">
        <f t="shared" si="5"/>
        <v>2022</v>
      </c>
      <c r="AS7" s="21">
        <f t="shared" si="5"/>
        <v>2022</v>
      </c>
      <c r="AT7" s="21">
        <f t="shared" si="5"/>
        <v>2023</v>
      </c>
      <c r="AU7" s="21">
        <f t="shared" si="5"/>
        <v>2023</v>
      </c>
      <c r="AV7" s="21">
        <f t="shared" si="5"/>
        <v>2022</v>
      </c>
      <c r="AW7" s="21">
        <f t="shared" si="5"/>
        <v>2022</v>
      </c>
      <c r="AX7" s="21">
        <f t="shared" si="5"/>
        <v>2023</v>
      </c>
      <c r="AY7" s="21">
        <f t="shared" si="5"/>
        <v>2023</v>
      </c>
      <c r="AZ7" s="21">
        <f t="shared" si="5"/>
        <v>2022</v>
      </c>
      <c r="BA7" s="21">
        <f t="shared" si="5"/>
        <v>2022</v>
      </c>
      <c r="BB7" s="21">
        <f t="shared" si="5"/>
        <v>2023</v>
      </c>
      <c r="BC7" s="21">
        <f>IF(BC11="",BB7,BC11)</f>
        <v>2023</v>
      </c>
      <c r="BD7" s="21" t="str">
        <f t="shared" ref="BD7" si="6">IF(BD11="",BC7,BD11)</f>
        <v>Rank Change</v>
      </c>
    </row>
    <row r="8" spans="1:56" ht="18">
      <c r="B8" s="776" t="s">
        <v>87</v>
      </c>
      <c r="C8" s="776" t="s">
        <v>23</v>
      </c>
      <c r="D8" s="869" t="s">
        <v>423</v>
      </c>
      <c r="E8" s="870"/>
      <c r="F8" s="870"/>
      <c r="G8" s="870"/>
      <c r="H8" s="870"/>
      <c r="I8" s="870"/>
      <c r="J8" s="870"/>
      <c r="K8" s="870"/>
      <c r="L8" s="870"/>
      <c r="M8" s="870"/>
      <c r="N8" s="870"/>
      <c r="O8" s="870"/>
      <c r="P8" s="870"/>
      <c r="Q8" s="870"/>
      <c r="R8" s="870"/>
      <c r="S8" s="870"/>
      <c r="T8" s="870"/>
      <c r="U8" s="870"/>
      <c r="V8" s="870"/>
      <c r="W8" s="870"/>
      <c r="X8" s="870"/>
      <c r="Y8" s="870"/>
      <c r="Z8" s="870"/>
      <c r="AA8" s="870"/>
      <c r="AB8" s="870"/>
      <c r="AC8" s="870"/>
      <c r="AD8" s="870"/>
      <c r="AE8" s="870"/>
      <c r="AF8" s="870"/>
      <c r="AG8" s="870"/>
      <c r="AH8" s="870"/>
      <c r="AI8" s="870"/>
      <c r="AJ8" s="870"/>
      <c r="AK8" s="870"/>
      <c r="AL8" s="870"/>
      <c r="AM8" s="870"/>
      <c r="AN8" s="870"/>
      <c r="AO8" s="870"/>
      <c r="AP8" s="870"/>
      <c r="AQ8" s="870"/>
      <c r="AR8" s="870"/>
      <c r="AS8" s="870"/>
      <c r="AT8" s="870"/>
      <c r="AU8" s="870"/>
      <c r="AV8" s="870"/>
      <c r="AW8" s="870"/>
      <c r="AX8" s="870"/>
      <c r="AY8" s="870"/>
      <c r="AZ8" s="870"/>
      <c r="BA8" s="870"/>
      <c r="BB8" s="870"/>
      <c r="BC8" s="870"/>
      <c r="BD8" s="870"/>
    </row>
    <row r="9" spans="1:56" ht="18">
      <c r="B9" s="777"/>
      <c r="C9" s="777"/>
      <c r="D9" s="871" t="s">
        <v>424</v>
      </c>
      <c r="E9" s="872"/>
      <c r="F9" s="872"/>
      <c r="G9" s="872"/>
      <c r="H9" s="872"/>
      <c r="I9" s="872"/>
      <c r="J9" s="872"/>
      <c r="K9" s="872"/>
      <c r="L9" s="872"/>
      <c r="M9" s="872"/>
      <c r="N9" s="872"/>
      <c r="O9" s="872"/>
      <c r="P9" s="872"/>
      <c r="Q9" s="872"/>
      <c r="R9" s="872"/>
      <c r="S9" s="872"/>
      <c r="T9" s="872"/>
      <c r="U9" s="872"/>
      <c r="V9" s="872"/>
      <c r="W9" s="873"/>
      <c r="X9" s="871" t="s">
        <v>121</v>
      </c>
      <c r="Y9" s="872"/>
      <c r="Z9" s="872"/>
      <c r="AA9" s="872"/>
      <c r="AB9" s="872"/>
      <c r="AC9" s="872"/>
      <c r="AD9" s="872"/>
      <c r="AE9" s="873"/>
      <c r="AF9" s="429"/>
      <c r="AG9" s="429"/>
      <c r="AH9" s="429"/>
      <c r="AI9" s="429"/>
      <c r="AJ9" s="871" t="s">
        <v>117</v>
      </c>
      <c r="AK9" s="872"/>
      <c r="AL9" s="872"/>
      <c r="AM9" s="872"/>
      <c r="AN9" s="872"/>
      <c r="AO9" s="872"/>
      <c r="AP9" s="872"/>
      <c r="AQ9" s="872"/>
      <c r="AR9" s="872"/>
      <c r="AS9" s="872"/>
      <c r="AT9" s="872"/>
      <c r="AU9" s="872"/>
      <c r="AV9" s="872"/>
      <c r="AW9" s="872"/>
      <c r="AX9" s="872"/>
      <c r="AY9" s="873"/>
      <c r="AZ9" s="874" t="s">
        <v>332</v>
      </c>
      <c r="BA9" s="875"/>
      <c r="BB9" s="875"/>
      <c r="BC9" s="875"/>
      <c r="BD9" s="875"/>
    </row>
    <row r="10" spans="1:56" ht="12.95" customHeight="1">
      <c r="B10" s="777"/>
      <c r="C10" s="777"/>
      <c r="D10" s="868" t="s">
        <v>425</v>
      </c>
      <c r="E10" s="865"/>
      <c r="F10" s="865"/>
      <c r="G10" s="866"/>
      <c r="H10" s="868" t="s">
        <v>426</v>
      </c>
      <c r="I10" s="865"/>
      <c r="J10" s="865"/>
      <c r="K10" s="866"/>
      <c r="L10" s="868" t="s">
        <v>427</v>
      </c>
      <c r="M10" s="865"/>
      <c r="N10" s="865"/>
      <c r="O10" s="866"/>
      <c r="P10" s="868" t="s">
        <v>428</v>
      </c>
      <c r="Q10" s="865"/>
      <c r="R10" s="865"/>
      <c r="S10" s="866"/>
      <c r="T10" s="862" t="s">
        <v>417</v>
      </c>
      <c r="U10" s="863"/>
      <c r="V10" s="863"/>
      <c r="W10" s="864"/>
      <c r="X10" s="865" t="s">
        <v>429</v>
      </c>
      <c r="Y10" s="865"/>
      <c r="Z10" s="865"/>
      <c r="AA10" s="866"/>
      <c r="AB10" s="867" t="s">
        <v>121</v>
      </c>
      <c r="AC10" s="867"/>
      <c r="AD10" s="867"/>
      <c r="AE10" s="867"/>
      <c r="AF10" s="862" t="s">
        <v>417</v>
      </c>
      <c r="AG10" s="863"/>
      <c r="AH10" s="863"/>
      <c r="AI10" s="864"/>
      <c r="AJ10" s="868" t="s">
        <v>430</v>
      </c>
      <c r="AK10" s="865"/>
      <c r="AL10" s="865"/>
      <c r="AM10" s="866"/>
      <c r="AN10" s="868" t="s">
        <v>431</v>
      </c>
      <c r="AO10" s="865"/>
      <c r="AP10" s="865"/>
      <c r="AQ10" s="866"/>
      <c r="AR10" s="878" t="s">
        <v>432</v>
      </c>
      <c r="AS10" s="879"/>
      <c r="AT10" s="879"/>
      <c r="AU10" s="879"/>
      <c r="AV10" s="862" t="s">
        <v>417</v>
      </c>
      <c r="AW10" s="863"/>
      <c r="AX10" s="863"/>
      <c r="AY10" s="864"/>
      <c r="AZ10" s="876"/>
      <c r="BA10" s="877"/>
      <c r="BB10" s="877"/>
      <c r="BC10" s="877"/>
      <c r="BD10" s="877"/>
    </row>
    <row r="11" spans="1:56" ht="12.95" customHeight="1">
      <c r="B11" s="777"/>
      <c r="C11" s="777"/>
      <c r="D11" s="670">
        <v>2022</v>
      </c>
      <c r="E11" s="671"/>
      <c r="F11" s="670">
        <v>2023</v>
      </c>
      <c r="G11" s="671"/>
      <c r="H11" s="670">
        <v>2022</v>
      </c>
      <c r="I11" s="671"/>
      <c r="J11" s="670">
        <v>2023</v>
      </c>
      <c r="K11" s="671"/>
      <c r="L11" s="670">
        <v>2022</v>
      </c>
      <c r="M11" s="671"/>
      <c r="N11" s="670">
        <v>2023</v>
      </c>
      <c r="O11" s="671"/>
      <c r="P11" s="670">
        <v>2022</v>
      </c>
      <c r="Q11" s="671"/>
      <c r="R11" s="670">
        <v>2023</v>
      </c>
      <c r="S11" s="671"/>
      <c r="T11" s="670">
        <v>2022</v>
      </c>
      <c r="U11" s="671"/>
      <c r="V11" s="670">
        <v>2023</v>
      </c>
      <c r="W11" s="671"/>
      <c r="X11" s="670">
        <v>2022</v>
      </c>
      <c r="Y11" s="671"/>
      <c r="Z11" s="670">
        <v>2023</v>
      </c>
      <c r="AA11" s="671"/>
      <c r="AB11" s="670">
        <v>2022</v>
      </c>
      <c r="AC11" s="671"/>
      <c r="AD11" s="670">
        <v>2023</v>
      </c>
      <c r="AE11" s="671"/>
      <c r="AF11" s="670">
        <v>2022</v>
      </c>
      <c r="AG11" s="671"/>
      <c r="AH11" s="670">
        <v>2023</v>
      </c>
      <c r="AI11" s="671"/>
      <c r="AJ11" s="670">
        <v>2022</v>
      </c>
      <c r="AK11" s="671"/>
      <c r="AL11" s="670">
        <v>2023</v>
      </c>
      <c r="AM11" s="671"/>
      <c r="AN11" s="670">
        <v>2022</v>
      </c>
      <c r="AO11" s="671"/>
      <c r="AP11" s="670">
        <v>2023</v>
      </c>
      <c r="AQ11" s="671"/>
      <c r="AR11" s="772">
        <v>2022</v>
      </c>
      <c r="AS11" s="671"/>
      <c r="AT11" s="670">
        <v>2023</v>
      </c>
      <c r="AU11" s="671"/>
      <c r="AV11" s="670">
        <v>2022</v>
      </c>
      <c r="AW11" s="671"/>
      <c r="AX11" s="670">
        <v>2023</v>
      </c>
      <c r="AY11" s="671"/>
      <c r="AZ11" s="670">
        <v>2022</v>
      </c>
      <c r="BA11" s="671"/>
      <c r="BB11" s="670">
        <v>2023</v>
      </c>
      <c r="BC11" s="772"/>
      <c r="BD11" s="754" t="s">
        <v>336</v>
      </c>
    </row>
    <row r="12" spans="1:56" ht="12.6" customHeight="1">
      <c r="B12" s="777"/>
      <c r="C12" s="777"/>
      <c r="D12" s="298" t="s">
        <v>337</v>
      </c>
      <c r="E12" s="380" t="s">
        <v>241</v>
      </c>
      <c r="F12" s="298" t="s">
        <v>337</v>
      </c>
      <c r="G12" s="380" t="s">
        <v>241</v>
      </c>
      <c r="H12" s="298" t="s">
        <v>337</v>
      </c>
      <c r="I12" s="380" t="s">
        <v>241</v>
      </c>
      <c r="J12" s="298" t="s">
        <v>337</v>
      </c>
      <c r="K12" s="380" t="s">
        <v>241</v>
      </c>
      <c r="L12" s="298" t="s">
        <v>337</v>
      </c>
      <c r="M12" s="380" t="s">
        <v>241</v>
      </c>
      <c r="N12" s="298" t="s">
        <v>337</v>
      </c>
      <c r="O12" s="401" t="s">
        <v>241</v>
      </c>
      <c r="P12" s="298" t="s">
        <v>337</v>
      </c>
      <c r="Q12" s="380" t="s">
        <v>241</v>
      </c>
      <c r="R12" s="298" t="s">
        <v>661</v>
      </c>
      <c r="S12" s="380" t="s">
        <v>241</v>
      </c>
      <c r="T12" s="298" t="s">
        <v>337</v>
      </c>
      <c r="U12" s="380" t="s">
        <v>241</v>
      </c>
      <c r="V12" s="298" t="s">
        <v>337</v>
      </c>
      <c r="W12" s="380" t="s">
        <v>241</v>
      </c>
      <c r="X12" s="298" t="s">
        <v>662</v>
      </c>
      <c r="Y12" s="300" t="s">
        <v>241</v>
      </c>
      <c r="Z12" s="298" t="s">
        <v>662</v>
      </c>
      <c r="AA12" s="380" t="s">
        <v>241</v>
      </c>
      <c r="AB12" s="298" t="s">
        <v>337</v>
      </c>
      <c r="AC12" s="380" t="s">
        <v>241</v>
      </c>
      <c r="AD12" s="298" t="s">
        <v>337</v>
      </c>
      <c r="AE12" s="380" t="s">
        <v>241</v>
      </c>
      <c r="AF12" s="298" t="s">
        <v>337</v>
      </c>
      <c r="AG12" s="380" t="s">
        <v>241</v>
      </c>
      <c r="AH12" s="298" t="s">
        <v>337</v>
      </c>
      <c r="AI12" s="380" t="s">
        <v>241</v>
      </c>
      <c r="AJ12" s="298" t="s">
        <v>661</v>
      </c>
      <c r="AK12" s="380" t="s">
        <v>241</v>
      </c>
      <c r="AL12" s="298" t="s">
        <v>337</v>
      </c>
      <c r="AM12" s="380" t="s">
        <v>241</v>
      </c>
      <c r="AN12" s="298" t="s">
        <v>337</v>
      </c>
      <c r="AO12" s="380" t="s">
        <v>241</v>
      </c>
      <c r="AP12" s="298" t="s">
        <v>337</v>
      </c>
      <c r="AQ12" s="380" t="s">
        <v>241</v>
      </c>
      <c r="AR12" s="377" t="s">
        <v>663</v>
      </c>
      <c r="AS12" s="300" t="s">
        <v>241</v>
      </c>
      <c r="AT12" s="299" t="s">
        <v>663</v>
      </c>
      <c r="AU12" s="300" t="s">
        <v>241</v>
      </c>
      <c r="AV12" s="298" t="s">
        <v>337</v>
      </c>
      <c r="AW12" s="380" t="s">
        <v>241</v>
      </c>
      <c r="AX12" s="298" t="s">
        <v>337</v>
      </c>
      <c r="AY12" s="380" t="s">
        <v>241</v>
      </c>
      <c r="AZ12" s="299" t="s">
        <v>337</v>
      </c>
      <c r="BA12" s="300" t="s">
        <v>241</v>
      </c>
      <c r="BB12" s="299" t="s">
        <v>337</v>
      </c>
      <c r="BC12" s="300" t="s">
        <v>241</v>
      </c>
      <c r="BD12" s="836"/>
    </row>
    <row r="13" spans="1:56" ht="15" customHeight="1">
      <c r="B13" s="301" t="s">
        <v>5</v>
      </c>
      <c r="C13" s="302" t="s">
        <v>338</v>
      </c>
      <c r="D13" s="381">
        <v>0</v>
      </c>
      <c r="E13" s="304">
        <f>RANK(D13,$D$13:$D$42,0)</f>
        <v>20</v>
      </c>
      <c r="F13" s="309">
        <v>0</v>
      </c>
      <c r="G13" s="313">
        <f>RANK(F13,$F$13:$F$42,0)</f>
        <v>14</v>
      </c>
      <c r="H13" s="856" t="s">
        <v>433</v>
      </c>
      <c r="I13" s="857"/>
      <c r="J13" s="306">
        <v>12</v>
      </c>
      <c r="K13" s="312">
        <f>RANK(J13,$J$13:$J$42,0)</f>
        <v>14</v>
      </c>
      <c r="L13" s="381">
        <v>79.2</v>
      </c>
      <c r="M13" s="304">
        <f>RANK(L13,$L$13:$L$42,0)</f>
        <v>5</v>
      </c>
      <c r="N13" s="309">
        <v>78.599999999999994</v>
      </c>
      <c r="O13" s="312">
        <f>RANK(N13,$N$13:$N$42,0)</f>
        <v>7</v>
      </c>
      <c r="P13" s="381">
        <v>0.01</v>
      </c>
      <c r="Q13" s="404">
        <f>RANK(P13,$P$13:$P$42,1)</f>
        <v>1</v>
      </c>
      <c r="R13" s="309">
        <v>3.4</v>
      </c>
      <c r="S13" s="313">
        <f t="shared" ref="S13:S42" si="7">RANK(R13,$R$13:$R$42,0)</f>
        <v>8</v>
      </c>
      <c r="T13" s="381">
        <f>AVERAGE(E13,M13,Q13)</f>
        <v>8.6666666666666661</v>
      </c>
      <c r="U13" s="404">
        <f>RANK(T13,$T$13:$T$42,1)</f>
        <v>4</v>
      </c>
      <c r="V13" s="309">
        <f>AVERAGE(G13,K13,O13,S13)</f>
        <v>10.75</v>
      </c>
      <c r="W13" s="313">
        <f>RANK(V13,$V$13:$V$42,1)</f>
        <v>8</v>
      </c>
      <c r="X13" s="381">
        <v>175.17</v>
      </c>
      <c r="Y13" s="404">
        <f>RANK(X13,$X$13:$X$42,1)</f>
        <v>24</v>
      </c>
      <c r="Z13" s="309">
        <v>280.23</v>
      </c>
      <c r="AA13" s="313">
        <f>RANK(Z13,$Z$13:$Z$42,1)</f>
        <v>26</v>
      </c>
      <c r="AB13" s="381">
        <v>50.4</v>
      </c>
      <c r="AC13" s="304">
        <f>RANK(AB13,$AB$13:$AB$42,0)</f>
        <v>12</v>
      </c>
      <c r="AD13" s="309">
        <v>56.8</v>
      </c>
      <c r="AE13" s="313">
        <f>RANK(AD13,$AD$13:$AD$42,0)</f>
        <v>10</v>
      </c>
      <c r="AF13" s="381">
        <f>AVERAGE(Y13,AC13)</f>
        <v>18</v>
      </c>
      <c r="AG13" s="304">
        <f>RANK(AF13,$AF$13:$AF$42,1)</f>
        <v>19</v>
      </c>
      <c r="AH13" s="309">
        <f>AVERAGE(AA13,AE13)</f>
        <v>18</v>
      </c>
      <c r="AI13" s="312">
        <f>RANK(AH13,$AH$13:$AH$42,1)</f>
        <v>21</v>
      </c>
      <c r="AJ13" s="381">
        <v>2</v>
      </c>
      <c r="AK13" s="304">
        <f>RANK(AJ13,$AJ$13:$AJ$42,0)</f>
        <v>10</v>
      </c>
      <c r="AL13" s="309">
        <v>28.9</v>
      </c>
      <c r="AM13" s="312">
        <f>RANK(AL13,$AL$13:$AL$42,0)</f>
        <v>16</v>
      </c>
      <c r="AN13" s="381">
        <v>35.4</v>
      </c>
      <c r="AO13" s="304">
        <f>RANK(AN13,$AN$13:$AN$42,0)</f>
        <v>13</v>
      </c>
      <c r="AP13" s="309">
        <v>35</v>
      </c>
      <c r="AQ13" s="312">
        <f>RANK(AP13,$AP$13:$AP$42,0)</f>
        <v>13</v>
      </c>
      <c r="AR13" s="382">
        <v>25.9</v>
      </c>
      <c r="AS13" s="304">
        <f t="shared" ref="AS13:AS42" si="8">RANK(AR13,$AR$13:$AR$42,0)</f>
        <v>8</v>
      </c>
      <c r="AT13" s="309">
        <v>25.9</v>
      </c>
      <c r="AU13" s="312">
        <f t="shared" ref="AU13:AU42" si="9">RANK(AT13,$AT$13:$AT$42,0)</f>
        <v>10</v>
      </c>
      <c r="AV13" s="381">
        <f>AVERAGE(AK13,AO13,AS13)</f>
        <v>10.333333333333334</v>
      </c>
      <c r="AW13" s="304">
        <f>RANK(AV13,$AV$13:$AV$42,1)</f>
        <v>10</v>
      </c>
      <c r="AX13" s="309">
        <f>AVERAGE(AM13,AQ13,AU13)</f>
        <v>13</v>
      </c>
      <c r="AY13" s="313">
        <f>RANK(AX13,AX$13:AX$42,1)</f>
        <v>12</v>
      </c>
      <c r="AZ13" s="381" cm="1">
        <f t="array" aca="1" ref="AZ13" ca="1">ROUNDUP(SUMPRODUCT(--($D$7:$AY$7=AZ$7),$D$3:$AY$3,$D13:$AY13),3)</f>
        <v>12.334</v>
      </c>
      <c r="BA13" s="304">
        <f ca="1">RANK(AZ13,AZ$13:AZ$42,1)</f>
        <v>11</v>
      </c>
      <c r="BB13" s="309" cm="1">
        <f t="array" aca="1" ref="BB13" ca="1">ROUNDUP(SUMPRODUCT(--($D$7:$AY$7=BB$7),$D$3:$AY$3,$D13:$AY13),3)</f>
        <v>13.917</v>
      </c>
      <c r="BC13" s="313">
        <f ca="1">RANK(BB13,BB$13:BB$42,1)</f>
        <v>12</v>
      </c>
      <c r="BD13" s="448">
        <f ca="1">BA13-BC13</f>
        <v>-1</v>
      </c>
    </row>
    <row r="14" spans="1:56" ht="15" customHeight="1">
      <c r="B14" s="315" t="s">
        <v>5</v>
      </c>
      <c r="C14" s="316" t="s">
        <v>83</v>
      </c>
      <c r="D14" s="384">
        <v>79.180000000000007</v>
      </c>
      <c r="E14" s="305">
        <f t="shared" ref="E14:E41" si="10">RANK(D14,$D$13:$D$42,0)</f>
        <v>2</v>
      </c>
      <c r="F14" s="319">
        <v>66.75</v>
      </c>
      <c r="G14" s="321">
        <f t="shared" ref="G14:G41" si="11">RANK(F14,$F$13:$F$42,0)</f>
        <v>6</v>
      </c>
      <c r="H14" s="858"/>
      <c r="I14" s="859"/>
      <c r="J14" s="318">
        <v>14</v>
      </c>
      <c r="K14" s="307">
        <f t="shared" ref="K14:K42" si="12">RANK(J14,$J$13:$J$42,0)</f>
        <v>11</v>
      </c>
      <c r="L14" s="384">
        <v>79.2</v>
      </c>
      <c r="M14" s="305">
        <f t="shared" ref="M14:M42" si="13">RANK(L14,$L$13:$L$42,0)</f>
        <v>5</v>
      </c>
      <c r="N14" s="319">
        <v>78.599999999999994</v>
      </c>
      <c r="O14" s="307">
        <f t="shared" ref="O14:O38" si="14">RANK(N14,$N$13:$N$42,0)</f>
        <v>7</v>
      </c>
      <c r="P14" s="384">
        <v>1.9E-2</v>
      </c>
      <c r="Q14" s="410">
        <f t="shared" ref="Q14:Q42" si="15">RANK(P14,$P$13:$P$42,1)</f>
        <v>2</v>
      </c>
      <c r="R14" s="319">
        <v>3.34</v>
      </c>
      <c r="S14" s="321">
        <f t="shared" si="7"/>
        <v>9</v>
      </c>
      <c r="T14" s="384">
        <f t="shared" ref="T14:T42" si="16">AVERAGE(E14,M14,Q14)</f>
        <v>3</v>
      </c>
      <c r="U14" s="410">
        <f t="shared" ref="U14:U42" si="17">RANK(T14,$T$13:$T$42,1)</f>
        <v>1</v>
      </c>
      <c r="V14" s="319">
        <f t="shared" ref="V14:V24" si="18">AVERAGE(G14,K14,O14,S14)</f>
        <v>8.25</v>
      </c>
      <c r="W14" s="321">
        <f t="shared" ref="W14:W42" si="19">RANK(V14,$V$13:$V$42,1)</f>
        <v>4</v>
      </c>
      <c r="X14" s="384">
        <v>137.33000000000001</v>
      </c>
      <c r="Y14" s="410">
        <f t="shared" ref="Y14:Y42" si="20">RANK(X14,$X$13:$X$42,1)</f>
        <v>17</v>
      </c>
      <c r="Z14" s="319">
        <v>125.71</v>
      </c>
      <c r="AA14" s="321">
        <f t="shared" ref="AA14:AA42" si="21">RANK(Z14,$Z$13:$Z$42,1)</f>
        <v>13</v>
      </c>
      <c r="AB14" s="384">
        <v>61.2</v>
      </c>
      <c r="AC14" s="305">
        <f t="shared" ref="AC14:AC42" si="22">RANK(AB14,$AB$13:$AB$42,0)</f>
        <v>4</v>
      </c>
      <c r="AD14" s="319">
        <v>69.2</v>
      </c>
      <c r="AE14" s="321">
        <f t="shared" ref="AE14:AE42" si="23">RANK(AD14,$AD$13:$AD$42,0)</f>
        <v>1</v>
      </c>
      <c r="AF14" s="384">
        <f t="shared" ref="AF14:AF42" si="24">AVERAGE(Y14,AC14)</f>
        <v>10.5</v>
      </c>
      <c r="AG14" s="305">
        <f t="shared" ref="AG14:AG42" si="25">RANK(AF14,$AF$13:$AF$42,1)</f>
        <v>6</v>
      </c>
      <c r="AH14" s="319">
        <f t="shared" ref="AH14:AH22" si="26">AVERAGE(AA14,AE14)</f>
        <v>7</v>
      </c>
      <c r="AI14" s="307">
        <f t="shared" ref="AI14:AI42" si="27">RANK(AH14,$AH$13:$AH$42,1)</f>
        <v>2</v>
      </c>
      <c r="AJ14" s="384">
        <v>2.9</v>
      </c>
      <c r="AK14" s="305">
        <f t="shared" ref="AK14:AK42" si="28">RANK(AJ14,$AJ$13:$AJ$42,0)</f>
        <v>6</v>
      </c>
      <c r="AL14" s="319">
        <v>64.7</v>
      </c>
      <c r="AM14" s="307">
        <f t="shared" ref="AM14:AM42" si="29">RANK(AL14,$AL$13:$AL$42,0)</f>
        <v>7</v>
      </c>
      <c r="AN14" s="384">
        <v>68.7</v>
      </c>
      <c r="AO14" s="305">
        <f t="shared" ref="AO14:AO42" si="30">RANK(AN14,$AN$13:$AN$42,0)</f>
        <v>4</v>
      </c>
      <c r="AP14" s="319">
        <v>61.3</v>
      </c>
      <c r="AQ14" s="307">
        <f t="shared" ref="AQ14:AQ42" si="31">RANK(AP14,$AP$13:$AP$42,0)</f>
        <v>5</v>
      </c>
      <c r="AR14" s="385">
        <v>27.9</v>
      </c>
      <c r="AS14" s="305">
        <f t="shared" si="8"/>
        <v>4</v>
      </c>
      <c r="AT14" s="319">
        <v>27.9</v>
      </c>
      <c r="AU14" s="307">
        <f t="shared" si="9"/>
        <v>6</v>
      </c>
      <c r="AV14" s="384">
        <f t="shared" ref="AV14:AV42" si="32">AVERAGE(AK14,AO14,AS14)</f>
        <v>4.666666666666667</v>
      </c>
      <c r="AW14" s="305">
        <f t="shared" ref="AW14:AW42" si="33">RANK(AV14,$AV$13:$AV$42,1)</f>
        <v>4</v>
      </c>
      <c r="AX14" s="319">
        <f t="shared" ref="AX14:AX20" si="34">AVERAGE(AM14,AQ14,AU14)</f>
        <v>6</v>
      </c>
      <c r="AY14" s="321">
        <f t="shared" ref="AY14:AY42" si="35">RANK(AX14,AX$13:AX$42,1)</f>
        <v>5</v>
      </c>
      <c r="AZ14" s="384" cm="1">
        <f t="array" aca="1" ref="AZ14" ca="1">ROUNDUP(SUMPRODUCT(--($D$7:$AY$7=AZ$7),$D$3:$AY$3,$D14:$AY14),3)</f>
        <v>6.056</v>
      </c>
      <c r="BA14" s="305">
        <f t="shared" ref="BA14:BA29" ca="1" si="36">RANK(AZ14,AZ$13:AZ$42,1)</f>
        <v>1</v>
      </c>
      <c r="BB14" s="319" cm="1">
        <f t="array" aca="1" ref="BB14" ca="1">ROUNDUP(SUMPRODUCT(--($D$7:$AY$7=BB$7),$D$3:$AY$3,$D14:$AY14),3)</f>
        <v>7.0840000000000005</v>
      </c>
      <c r="BC14" s="321">
        <f t="shared" ref="BC14:BC29" ca="1" si="37">RANK(BB14,BB$13:BB$42,1)</f>
        <v>1</v>
      </c>
      <c r="BD14" s="451">
        <f t="shared" ref="BD14:BD42" ca="1" si="38">BA14-BC14</f>
        <v>0</v>
      </c>
    </row>
    <row r="15" spans="1:56" s="445" customFormat="1" ht="15" customHeight="1">
      <c r="B15" s="315" t="s">
        <v>5</v>
      </c>
      <c r="C15" s="316" t="s">
        <v>26</v>
      </c>
      <c r="D15" s="384">
        <v>0</v>
      </c>
      <c r="E15" s="305">
        <f t="shared" si="10"/>
        <v>20</v>
      </c>
      <c r="F15" s="319">
        <v>0</v>
      </c>
      <c r="G15" s="321">
        <f t="shared" si="11"/>
        <v>14</v>
      </c>
      <c r="H15" s="858"/>
      <c r="I15" s="859"/>
      <c r="J15" s="318">
        <v>18</v>
      </c>
      <c r="K15" s="307">
        <f t="shared" si="12"/>
        <v>3</v>
      </c>
      <c r="L15" s="384">
        <v>79.2</v>
      </c>
      <c r="M15" s="305">
        <f t="shared" si="13"/>
        <v>5</v>
      </c>
      <c r="N15" s="319">
        <v>78.599999999999994</v>
      </c>
      <c r="O15" s="307">
        <f t="shared" si="14"/>
        <v>7</v>
      </c>
      <c r="P15" s="384">
        <v>4.4999999999999998E-2</v>
      </c>
      <c r="Q15" s="410">
        <f t="shared" si="15"/>
        <v>6</v>
      </c>
      <c r="R15" s="319">
        <v>1.3</v>
      </c>
      <c r="S15" s="321">
        <f t="shared" si="7"/>
        <v>22</v>
      </c>
      <c r="T15" s="384">
        <f t="shared" si="16"/>
        <v>10.333333333333334</v>
      </c>
      <c r="U15" s="410">
        <f t="shared" si="17"/>
        <v>8</v>
      </c>
      <c r="V15" s="319">
        <f t="shared" si="18"/>
        <v>11.5</v>
      </c>
      <c r="W15" s="321">
        <f t="shared" si="19"/>
        <v>10</v>
      </c>
      <c r="X15" s="384">
        <v>168.86</v>
      </c>
      <c r="Y15" s="410">
        <f t="shared" si="20"/>
        <v>23</v>
      </c>
      <c r="Z15" s="319">
        <v>200.23</v>
      </c>
      <c r="AA15" s="321">
        <f t="shared" si="21"/>
        <v>22</v>
      </c>
      <c r="AB15" s="384">
        <v>52.4</v>
      </c>
      <c r="AC15" s="305">
        <f t="shared" si="22"/>
        <v>11</v>
      </c>
      <c r="AD15" s="319">
        <v>57.2</v>
      </c>
      <c r="AE15" s="321">
        <f t="shared" si="23"/>
        <v>8</v>
      </c>
      <c r="AF15" s="384">
        <f t="shared" si="24"/>
        <v>17</v>
      </c>
      <c r="AG15" s="305">
        <f t="shared" si="25"/>
        <v>17</v>
      </c>
      <c r="AH15" s="319">
        <f t="shared" si="26"/>
        <v>15</v>
      </c>
      <c r="AI15" s="307">
        <f t="shared" si="27"/>
        <v>11</v>
      </c>
      <c r="AJ15" s="384">
        <v>2.4</v>
      </c>
      <c r="AK15" s="305">
        <f t="shared" si="28"/>
        <v>7</v>
      </c>
      <c r="AL15" s="319">
        <v>62.5</v>
      </c>
      <c r="AM15" s="307">
        <f t="shared" si="29"/>
        <v>8</v>
      </c>
      <c r="AN15" s="384">
        <v>44.9</v>
      </c>
      <c r="AO15" s="305">
        <f t="shared" si="30"/>
        <v>11</v>
      </c>
      <c r="AP15" s="319">
        <v>43.7</v>
      </c>
      <c r="AQ15" s="307">
        <f t="shared" si="31"/>
        <v>12</v>
      </c>
      <c r="AR15" s="385">
        <v>25.9</v>
      </c>
      <c r="AS15" s="305">
        <f t="shared" si="8"/>
        <v>8</v>
      </c>
      <c r="AT15" s="319">
        <v>25.9</v>
      </c>
      <c r="AU15" s="307">
        <f t="shared" si="9"/>
        <v>10</v>
      </c>
      <c r="AV15" s="384">
        <f t="shared" si="32"/>
        <v>8.6666666666666661</v>
      </c>
      <c r="AW15" s="305">
        <f t="shared" si="33"/>
        <v>6</v>
      </c>
      <c r="AX15" s="319">
        <f t="shared" si="34"/>
        <v>10</v>
      </c>
      <c r="AY15" s="321">
        <f t="shared" si="35"/>
        <v>8</v>
      </c>
      <c r="AZ15" s="384" cm="1">
        <f t="array" aca="1" ref="AZ15" ca="1">ROUNDUP(SUMPRODUCT(--($D$7:$AY$7=AZ$7),$D$3:$AY$3,$D15:$AY15),3)</f>
        <v>12</v>
      </c>
      <c r="BA15" s="305">
        <f t="shared" ca="1" si="36"/>
        <v>10</v>
      </c>
      <c r="BB15" s="319" cm="1">
        <f t="array" aca="1" ref="BB15" ca="1">ROUNDUP(SUMPRODUCT(--($D$7:$AY$7=BB$7),$D$3:$AY$3,$D15:$AY15),3)</f>
        <v>12.167</v>
      </c>
      <c r="BC15" s="321">
        <f t="shared" ca="1" si="37"/>
        <v>8</v>
      </c>
      <c r="BD15" s="451">
        <f t="shared" ca="1" si="38"/>
        <v>2</v>
      </c>
    </row>
    <row r="16" spans="1:56" s="445" customFormat="1" ht="15" customHeight="1">
      <c r="B16" s="315" t="s">
        <v>5</v>
      </c>
      <c r="C16" s="316" t="s">
        <v>25</v>
      </c>
      <c r="D16" s="384">
        <v>0</v>
      </c>
      <c r="E16" s="305">
        <f t="shared" si="10"/>
        <v>20</v>
      </c>
      <c r="F16" s="319">
        <v>0</v>
      </c>
      <c r="G16" s="321">
        <f t="shared" si="11"/>
        <v>14</v>
      </c>
      <c r="H16" s="858"/>
      <c r="I16" s="859"/>
      <c r="J16" s="318">
        <v>19</v>
      </c>
      <c r="K16" s="307">
        <f t="shared" si="12"/>
        <v>1</v>
      </c>
      <c r="L16" s="384">
        <v>79.2</v>
      </c>
      <c r="M16" s="305">
        <f t="shared" si="13"/>
        <v>5</v>
      </c>
      <c r="N16" s="319">
        <v>78.599999999999994</v>
      </c>
      <c r="O16" s="307">
        <f t="shared" si="14"/>
        <v>7</v>
      </c>
      <c r="P16" s="384">
        <v>2.3E-2</v>
      </c>
      <c r="Q16" s="410">
        <f t="shared" si="15"/>
        <v>3</v>
      </c>
      <c r="R16" s="319">
        <v>0.27</v>
      </c>
      <c r="S16" s="321">
        <f t="shared" si="7"/>
        <v>28</v>
      </c>
      <c r="T16" s="384">
        <f t="shared" si="16"/>
        <v>9.3333333333333339</v>
      </c>
      <c r="U16" s="410">
        <f t="shared" si="17"/>
        <v>6</v>
      </c>
      <c r="V16" s="319">
        <f t="shared" si="18"/>
        <v>12.5</v>
      </c>
      <c r="W16" s="321">
        <f t="shared" si="19"/>
        <v>13</v>
      </c>
      <c r="X16" s="384">
        <v>272.70999999999998</v>
      </c>
      <c r="Y16" s="410">
        <f t="shared" si="20"/>
        <v>30</v>
      </c>
      <c r="Z16" s="319">
        <v>291.57</v>
      </c>
      <c r="AA16" s="321">
        <f t="shared" si="21"/>
        <v>27</v>
      </c>
      <c r="AB16" s="384">
        <v>54.5</v>
      </c>
      <c r="AC16" s="305">
        <f t="shared" si="22"/>
        <v>9</v>
      </c>
      <c r="AD16" s="319">
        <v>57.1</v>
      </c>
      <c r="AE16" s="321">
        <f t="shared" si="23"/>
        <v>9</v>
      </c>
      <c r="AF16" s="384">
        <f t="shared" si="24"/>
        <v>19.5</v>
      </c>
      <c r="AG16" s="305">
        <f t="shared" si="25"/>
        <v>20</v>
      </c>
      <c r="AH16" s="319">
        <f t="shared" si="26"/>
        <v>18</v>
      </c>
      <c r="AI16" s="307">
        <f t="shared" si="27"/>
        <v>21</v>
      </c>
      <c r="AJ16" s="384">
        <v>3.1</v>
      </c>
      <c r="AK16" s="305">
        <f t="shared" si="28"/>
        <v>5</v>
      </c>
      <c r="AL16" s="319">
        <v>69.599999999999994</v>
      </c>
      <c r="AM16" s="307">
        <f t="shared" si="29"/>
        <v>6</v>
      </c>
      <c r="AN16" s="384">
        <v>68.3</v>
      </c>
      <c r="AO16" s="305">
        <f t="shared" si="30"/>
        <v>5</v>
      </c>
      <c r="AP16" s="319">
        <v>61.5</v>
      </c>
      <c r="AQ16" s="307">
        <f t="shared" si="31"/>
        <v>4</v>
      </c>
      <c r="AR16" s="385">
        <v>35.799999999999997</v>
      </c>
      <c r="AS16" s="305">
        <f t="shared" si="8"/>
        <v>1</v>
      </c>
      <c r="AT16" s="319">
        <v>35.799999999999997</v>
      </c>
      <c r="AU16" s="307">
        <f t="shared" si="9"/>
        <v>2</v>
      </c>
      <c r="AV16" s="384">
        <f t="shared" si="32"/>
        <v>3.6666666666666665</v>
      </c>
      <c r="AW16" s="305">
        <f t="shared" si="33"/>
        <v>3</v>
      </c>
      <c r="AX16" s="319">
        <f t="shared" si="34"/>
        <v>4</v>
      </c>
      <c r="AY16" s="321">
        <f t="shared" si="35"/>
        <v>2</v>
      </c>
      <c r="AZ16" s="384" cm="1">
        <f t="array" aca="1" ref="AZ16" ca="1">ROUNDUP(SUMPRODUCT(--($D$7:$AY$7=AZ$7),$D$3:$AY$3,$D16:$AY16),3)</f>
        <v>10.834</v>
      </c>
      <c r="BA16" s="305">
        <f t="shared" ca="1" si="36"/>
        <v>7</v>
      </c>
      <c r="BB16" s="319" cm="1">
        <f t="array" aca="1" ref="BB16" ca="1">ROUNDUP(SUMPRODUCT(--($D$7:$AY$7=BB$7),$D$3:$AY$3,$D16:$AY16),3)</f>
        <v>11.5</v>
      </c>
      <c r="BC16" s="321">
        <f t="shared" ca="1" si="37"/>
        <v>7</v>
      </c>
      <c r="BD16" s="451">
        <f t="shared" ca="1" si="38"/>
        <v>0</v>
      </c>
    </row>
    <row r="17" spans="2:56" s="445" customFormat="1" ht="15" customHeight="1">
      <c r="B17" s="315" t="s">
        <v>5</v>
      </c>
      <c r="C17" s="316" t="s">
        <v>55</v>
      </c>
      <c r="D17" s="384">
        <v>0</v>
      </c>
      <c r="E17" s="305">
        <f t="shared" si="10"/>
        <v>20</v>
      </c>
      <c r="F17" s="319">
        <v>0</v>
      </c>
      <c r="G17" s="321">
        <f t="shared" si="11"/>
        <v>14</v>
      </c>
      <c r="H17" s="858"/>
      <c r="I17" s="859"/>
      <c r="J17" s="318">
        <v>16</v>
      </c>
      <c r="K17" s="307">
        <f t="shared" si="12"/>
        <v>6</v>
      </c>
      <c r="L17" s="384">
        <v>79.2</v>
      </c>
      <c r="M17" s="305">
        <f t="shared" si="13"/>
        <v>5</v>
      </c>
      <c r="N17" s="319">
        <v>78.599999999999994</v>
      </c>
      <c r="O17" s="307">
        <f t="shared" si="14"/>
        <v>7</v>
      </c>
      <c r="P17" s="384">
        <v>2.9000000000000001E-2</v>
      </c>
      <c r="Q17" s="410">
        <f t="shared" si="15"/>
        <v>4</v>
      </c>
      <c r="R17" s="319">
        <v>5.14</v>
      </c>
      <c r="S17" s="321">
        <f t="shared" si="7"/>
        <v>3</v>
      </c>
      <c r="T17" s="384">
        <f t="shared" si="16"/>
        <v>9.6666666666666661</v>
      </c>
      <c r="U17" s="410">
        <f t="shared" si="17"/>
        <v>7</v>
      </c>
      <c r="V17" s="319">
        <f t="shared" si="18"/>
        <v>7.5</v>
      </c>
      <c r="W17" s="321">
        <f t="shared" si="19"/>
        <v>3</v>
      </c>
      <c r="X17" s="384">
        <v>132.47999999999999</v>
      </c>
      <c r="Y17" s="410">
        <f t="shared" si="20"/>
        <v>16</v>
      </c>
      <c r="Z17" s="319">
        <v>197.7</v>
      </c>
      <c r="AA17" s="321">
        <f t="shared" si="21"/>
        <v>21</v>
      </c>
      <c r="AB17" s="384">
        <v>40.6</v>
      </c>
      <c r="AC17" s="305">
        <f t="shared" si="22"/>
        <v>14</v>
      </c>
      <c r="AD17" s="319">
        <v>53</v>
      </c>
      <c r="AE17" s="321">
        <f t="shared" si="23"/>
        <v>15</v>
      </c>
      <c r="AF17" s="384">
        <f t="shared" si="24"/>
        <v>15</v>
      </c>
      <c r="AG17" s="305">
        <f t="shared" si="25"/>
        <v>13</v>
      </c>
      <c r="AH17" s="319">
        <f t="shared" si="26"/>
        <v>18</v>
      </c>
      <c r="AI17" s="307">
        <f t="shared" si="27"/>
        <v>21</v>
      </c>
      <c r="AJ17" s="384">
        <v>1.6</v>
      </c>
      <c r="AK17" s="305">
        <f t="shared" si="28"/>
        <v>14</v>
      </c>
      <c r="AL17" s="319">
        <v>36.700000000000003</v>
      </c>
      <c r="AM17" s="307">
        <f t="shared" si="29"/>
        <v>13</v>
      </c>
      <c r="AN17" s="384">
        <v>20.2</v>
      </c>
      <c r="AO17" s="305">
        <f t="shared" si="30"/>
        <v>19</v>
      </c>
      <c r="AP17" s="319">
        <v>22.4</v>
      </c>
      <c r="AQ17" s="307">
        <f t="shared" si="31"/>
        <v>19</v>
      </c>
      <c r="AR17" s="385">
        <v>15.5</v>
      </c>
      <c r="AS17" s="305">
        <f t="shared" si="8"/>
        <v>26</v>
      </c>
      <c r="AT17" s="319">
        <v>15.5</v>
      </c>
      <c r="AU17" s="307">
        <f t="shared" si="9"/>
        <v>27</v>
      </c>
      <c r="AV17" s="384">
        <f t="shared" si="32"/>
        <v>19.666666666666668</v>
      </c>
      <c r="AW17" s="305">
        <f t="shared" si="33"/>
        <v>18</v>
      </c>
      <c r="AX17" s="319">
        <f t="shared" si="34"/>
        <v>19.666666666666668</v>
      </c>
      <c r="AY17" s="321">
        <f t="shared" si="35"/>
        <v>19</v>
      </c>
      <c r="AZ17" s="384" cm="1">
        <f t="array" aca="1" ref="AZ17" ca="1">ROUNDUP(SUMPRODUCT(--($D$7:$AY$7=AZ$7),$D$3:$AY$3,$D17:$AY17),3)</f>
        <v>14.777999999999999</v>
      </c>
      <c r="BA17" s="305">
        <f t="shared" ca="1" si="36"/>
        <v>14</v>
      </c>
      <c r="BB17" s="319" cm="1">
        <f t="array" aca="1" ref="BB17" ca="1">ROUNDUP(SUMPRODUCT(--($D$7:$AY$7=BB$7),$D$3:$AY$3,$D17:$AY17),3)</f>
        <v>15.055999999999999</v>
      </c>
      <c r="BC17" s="321">
        <f t="shared" ca="1" si="37"/>
        <v>14</v>
      </c>
      <c r="BD17" s="451">
        <f t="shared" ca="1" si="38"/>
        <v>0</v>
      </c>
    </row>
    <row r="18" spans="2:56" s="445" customFormat="1" ht="15" customHeight="1">
      <c r="B18" s="315" t="s">
        <v>5</v>
      </c>
      <c r="C18" s="316" t="s">
        <v>339</v>
      </c>
      <c r="D18" s="384">
        <v>55.49</v>
      </c>
      <c r="E18" s="305">
        <f t="shared" si="10"/>
        <v>13</v>
      </c>
      <c r="F18" s="319">
        <v>0</v>
      </c>
      <c r="G18" s="321">
        <f t="shared" si="11"/>
        <v>14</v>
      </c>
      <c r="H18" s="858"/>
      <c r="I18" s="859"/>
      <c r="J18" s="318">
        <v>8</v>
      </c>
      <c r="K18" s="307">
        <f t="shared" si="12"/>
        <v>19</v>
      </c>
      <c r="L18" s="384">
        <v>85.4</v>
      </c>
      <c r="M18" s="305">
        <f t="shared" si="13"/>
        <v>2</v>
      </c>
      <c r="N18" s="319">
        <v>84.6</v>
      </c>
      <c r="O18" s="307">
        <f t="shared" si="14"/>
        <v>2</v>
      </c>
      <c r="P18" s="384">
        <v>8.5000000000000006E-2</v>
      </c>
      <c r="Q18" s="410">
        <f t="shared" si="15"/>
        <v>17</v>
      </c>
      <c r="R18" s="319">
        <v>-0.71</v>
      </c>
      <c r="S18" s="321">
        <f t="shared" si="7"/>
        <v>30</v>
      </c>
      <c r="T18" s="384">
        <f t="shared" si="16"/>
        <v>10.666666666666666</v>
      </c>
      <c r="U18" s="410">
        <f t="shared" si="17"/>
        <v>9</v>
      </c>
      <c r="V18" s="319">
        <f t="shared" si="18"/>
        <v>16.25</v>
      </c>
      <c r="W18" s="321">
        <f t="shared" si="19"/>
        <v>20</v>
      </c>
      <c r="X18" s="384">
        <v>91.5</v>
      </c>
      <c r="Y18" s="410">
        <f t="shared" si="20"/>
        <v>6</v>
      </c>
      <c r="Z18" s="319">
        <v>186.78</v>
      </c>
      <c r="AA18" s="321">
        <f t="shared" si="21"/>
        <v>19</v>
      </c>
      <c r="AB18" s="384">
        <v>72.5</v>
      </c>
      <c r="AC18" s="305">
        <f t="shared" si="22"/>
        <v>1</v>
      </c>
      <c r="AD18" s="319">
        <v>63.2</v>
      </c>
      <c r="AE18" s="321">
        <f t="shared" si="23"/>
        <v>4</v>
      </c>
      <c r="AF18" s="384">
        <f t="shared" si="24"/>
        <v>3.5</v>
      </c>
      <c r="AG18" s="305">
        <f t="shared" si="25"/>
        <v>1</v>
      </c>
      <c r="AH18" s="319">
        <f t="shared" si="26"/>
        <v>11.5</v>
      </c>
      <c r="AI18" s="307">
        <f t="shared" si="27"/>
        <v>5</v>
      </c>
      <c r="AJ18" s="384">
        <v>2.2999999999999998</v>
      </c>
      <c r="AK18" s="305">
        <f t="shared" si="28"/>
        <v>9</v>
      </c>
      <c r="AL18" s="319">
        <v>52.4</v>
      </c>
      <c r="AM18" s="307">
        <f t="shared" si="29"/>
        <v>12</v>
      </c>
      <c r="AN18" s="384">
        <v>46.1</v>
      </c>
      <c r="AO18" s="305">
        <f t="shared" si="30"/>
        <v>9</v>
      </c>
      <c r="AP18" s="319">
        <v>49.7</v>
      </c>
      <c r="AQ18" s="307">
        <f t="shared" si="31"/>
        <v>9</v>
      </c>
      <c r="AR18" s="385">
        <v>21.2</v>
      </c>
      <c r="AS18" s="305">
        <f t="shared" si="8"/>
        <v>16</v>
      </c>
      <c r="AT18" s="319">
        <v>21.2</v>
      </c>
      <c r="AU18" s="307">
        <f t="shared" si="9"/>
        <v>18</v>
      </c>
      <c r="AV18" s="384">
        <f t="shared" si="32"/>
        <v>11.333333333333334</v>
      </c>
      <c r="AW18" s="305">
        <f t="shared" si="33"/>
        <v>12</v>
      </c>
      <c r="AX18" s="319">
        <f t="shared" si="34"/>
        <v>13</v>
      </c>
      <c r="AY18" s="321">
        <f t="shared" si="35"/>
        <v>12</v>
      </c>
      <c r="AZ18" s="384" cm="1">
        <f t="array" aca="1" ref="AZ18" ca="1">ROUNDUP(SUMPRODUCT(--($D$7:$AY$7=AZ$7),$D$3:$AY$3,$D18:$AY18),3)</f>
        <v>8.5</v>
      </c>
      <c r="BA18" s="305">
        <f t="shared" ca="1" si="36"/>
        <v>3</v>
      </c>
      <c r="BB18" s="319" cm="1">
        <f t="array" aca="1" ref="BB18" ca="1">ROUNDUP(SUMPRODUCT(--($D$7:$AY$7=BB$7),$D$3:$AY$3,$D18:$AY18),3)</f>
        <v>13.584</v>
      </c>
      <c r="BC18" s="321">
        <f t="shared" ca="1" si="37"/>
        <v>11</v>
      </c>
      <c r="BD18" s="451">
        <f t="shared" ca="1" si="38"/>
        <v>-8</v>
      </c>
    </row>
    <row r="19" spans="2:56" s="445" customFormat="1" ht="15" customHeight="1">
      <c r="B19" s="315" t="s">
        <v>5</v>
      </c>
      <c r="C19" s="316" t="s">
        <v>27</v>
      </c>
      <c r="D19" s="384">
        <v>0</v>
      </c>
      <c r="E19" s="305">
        <f t="shared" si="10"/>
        <v>20</v>
      </c>
      <c r="F19" s="319">
        <v>0</v>
      </c>
      <c r="G19" s="321">
        <f t="shared" si="11"/>
        <v>14</v>
      </c>
      <c r="H19" s="858"/>
      <c r="I19" s="859"/>
      <c r="J19" s="318">
        <v>15</v>
      </c>
      <c r="K19" s="307">
        <f t="shared" si="12"/>
        <v>8</v>
      </c>
      <c r="L19" s="384">
        <v>79.2</v>
      </c>
      <c r="M19" s="305">
        <f t="shared" si="13"/>
        <v>5</v>
      </c>
      <c r="N19" s="319">
        <v>78.599999999999994</v>
      </c>
      <c r="O19" s="307">
        <f t="shared" si="14"/>
        <v>7</v>
      </c>
      <c r="P19" s="384">
        <v>7.1999999999999995E-2</v>
      </c>
      <c r="Q19" s="410">
        <f t="shared" si="15"/>
        <v>15</v>
      </c>
      <c r="R19" s="319">
        <v>4.28</v>
      </c>
      <c r="S19" s="321">
        <f t="shared" si="7"/>
        <v>6</v>
      </c>
      <c r="T19" s="384">
        <f t="shared" si="16"/>
        <v>13.333333333333334</v>
      </c>
      <c r="U19" s="410">
        <f t="shared" si="17"/>
        <v>13</v>
      </c>
      <c r="V19" s="319">
        <f t="shared" si="18"/>
        <v>8.75</v>
      </c>
      <c r="W19" s="321">
        <f t="shared" si="19"/>
        <v>5</v>
      </c>
      <c r="X19" s="384">
        <v>161.15</v>
      </c>
      <c r="Y19" s="410">
        <f t="shared" si="20"/>
        <v>22</v>
      </c>
      <c r="Z19" s="319">
        <v>226.26</v>
      </c>
      <c r="AA19" s="321">
        <f t="shared" si="21"/>
        <v>24</v>
      </c>
      <c r="AB19" s="384">
        <v>37.1</v>
      </c>
      <c r="AC19" s="305">
        <f t="shared" si="22"/>
        <v>17</v>
      </c>
      <c r="AD19" s="319">
        <v>48.5</v>
      </c>
      <c r="AE19" s="321">
        <f t="shared" si="23"/>
        <v>16</v>
      </c>
      <c r="AF19" s="384">
        <f t="shared" si="24"/>
        <v>19.5</v>
      </c>
      <c r="AG19" s="305">
        <f t="shared" si="25"/>
        <v>20</v>
      </c>
      <c r="AH19" s="319">
        <f t="shared" si="26"/>
        <v>20</v>
      </c>
      <c r="AI19" s="307">
        <f t="shared" si="27"/>
        <v>27</v>
      </c>
      <c r="AJ19" s="384">
        <v>1.4</v>
      </c>
      <c r="AK19" s="305">
        <f t="shared" si="28"/>
        <v>15</v>
      </c>
      <c r="AL19" s="319">
        <v>23.7</v>
      </c>
      <c r="AM19" s="307">
        <f t="shared" si="29"/>
        <v>20</v>
      </c>
      <c r="AN19" s="384">
        <v>24.4</v>
      </c>
      <c r="AO19" s="305">
        <f t="shared" si="30"/>
        <v>15</v>
      </c>
      <c r="AP19" s="319">
        <v>25.3</v>
      </c>
      <c r="AQ19" s="307">
        <f t="shared" si="31"/>
        <v>15</v>
      </c>
      <c r="AR19" s="385">
        <v>19.399999999999999</v>
      </c>
      <c r="AS19" s="305">
        <f t="shared" si="8"/>
        <v>20</v>
      </c>
      <c r="AT19" s="319">
        <v>19.399999999999999</v>
      </c>
      <c r="AU19" s="307">
        <f t="shared" si="9"/>
        <v>22</v>
      </c>
      <c r="AV19" s="384">
        <f t="shared" si="32"/>
        <v>16.666666666666668</v>
      </c>
      <c r="AW19" s="305">
        <f t="shared" si="33"/>
        <v>16</v>
      </c>
      <c r="AX19" s="319">
        <f t="shared" si="34"/>
        <v>19</v>
      </c>
      <c r="AY19" s="321">
        <f t="shared" si="35"/>
        <v>16</v>
      </c>
      <c r="AZ19" s="384" cm="1">
        <f t="array" aca="1" ref="AZ19" ca="1">ROUNDUP(SUMPRODUCT(--($D$7:$AY$7=AZ$7),$D$3:$AY$3,$D19:$AY19),3)</f>
        <v>16.5</v>
      </c>
      <c r="BA19" s="305">
        <f t="shared" ca="1" si="36"/>
        <v>16</v>
      </c>
      <c r="BB19" s="319" cm="1">
        <f t="array" aca="1" ref="BB19" ca="1">ROUNDUP(SUMPRODUCT(--($D$7:$AY$7=BB$7),$D$3:$AY$3,$D19:$AY19),3)</f>
        <v>15.917</v>
      </c>
      <c r="BC19" s="321">
        <f t="shared" ca="1" si="37"/>
        <v>17</v>
      </c>
      <c r="BD19" s="451">
        <f t="shared" ca="1" si="38"/>
        <v>-1</v>
      </c>
    </row>
    <row r="20" spans="2:56" s="445" customFormat="1" ht="15" customHeight="1">
      <c r="B20" s="315" t="s">
        <v>5</v>
      </c>
      <c r="C20" s="316" t="s">
        <v>340</v>
      </c>
      <c r="D20" s="384">
        <v>0</v>
      </c>
      <c r="E20" s="305">
        <f t="shared" si="10"/>
        <v>20</v>
      </c>
      <c r="F20" s="319">
        <v>0</v>
      </c>
      <c r="G20" s="321">
        <f t="shared" si="11"/>
        <v>14</v>
      </c>
      <c r="H20" s="858"/>
      <c r="I20" s="859"/>
      <c r="J20" s="318">
        <v>12</v>
      </c>
      <c r="K20" s="307">
        <f t="shared" si="12"/>
        <v>14</v>
      </c>
      <c r="L20" s="384">
        <v>79.2</v>
      </c>
      <c r="M20" s="305">
        <f t="shared" si="13"/>
        <v>5</v>
      </c>
      <c r="N20" s="319">
        <v>78.599999999999994</v>
      </c>
      <c r="O20" s="307">
        <f t="shared" si="14"/>
        <v>7</v>
      </c>
      <c r="P20" s="384">
        <v>4.9000000000000002E-2</v>
      </c>
      <c r="Q20" s="410">
        <f t="shared" si="15"/>
        <v>7</v>
      </c>
      <c r="R20" s="319">
        <v>2.56</v>
      </c>
      <c r="S20" s="321">
        <f t="shared" si="7"/>
        <v>11</v>
      </c>
      <c r="T20" s="384">
        <f t="shared" si="16"/>
        <v>10.666666666666666</v>
      </c>
      <c r="U20" s="410">
        <f t="shared" si="17"/>
        <v>9</v>
      </c>
      <c r="V20" s="319">
        <f t="shared" si="18"/>
        <v>11.5</v>
      </c>
      <c r="W20" s="321">
        <f t="shared" si="19"/>
        <v>10</v>
      </c>
      <c r="X20" s="384">
        <v>189.18</v>
      </c>
      <c r="Y20" s="410">
        <f t="shared" si="20"/>
        <v>27</v>
      </c>
      <c r="Z20" s="319">
        <v>310.16000000000003</v>
      </c>
      <c r="AA20" s="321">
        <f t="shared" si="21"/>
        <v>29</v>
      </c>
      <c r="AB20" s="384">
        <v>31.2</v>
      </c>
      <c r="AC20" s="305">
        <f t="shared" si="22"/>
        <v>23</v>
      </c>
      <c r="AD20" s="319">
        <v>53.2</v>
      </c>
      <c r="AE20" s="321">
        <f t="shared" si="23"/>
        <v>14</v>
      </c>
      <c r="AF20" s="384">
        <f t="shared" si="24"/>
        <v>25</v>
      </c>
      <c r="AG20" s="305">
        <f t="shared" si="25"/>
        <v>30</v>
      </c>
      <c r="AH20" s="319">
        <f t="shared" si="26"/>
        <v>21.5</v>
      </c>
      <c r="AI20" s="307">
        <f t="shared" si="27"/>
        <v>28</v>
      </c>
      <c r="AJ20" s="384">
        <v>0.9</v>
      </c>
      <c r="AK20" s="305">
        <f t="shared" si="28"/>
        <v>19</v>
      </c>
      <c r="AL20" s="319">
        <v>16.7</v>
      </c>
      <c r="AM20" s="307">
        <f t="shared" si="29"/>
        <v>23</v>
      </c>
      <c r="AN20" s="384">
        <v>22.6</v>
      </c>
      <c r="AO20" s="305">
        <f t="shared" si="30"/>
        <v>16</v>
      </c>
      <c r="AP20" s="319">
        <v>22.1</v>
      </c>
      <c r="AQ20" s="307">
        <f t="shared" si="31"/>
        <v>20</v>
      </c>
      <c r="AR20" s="385">
        <v>22.2</v>
      </c>
      <c r="AS20" s="305">
        <f t="shared" si="8"/>
        <v>15</v>
      </c>
      <c r="AT20" s="319">
        <v>22.2</v>
      </c>
      <c r="AU20" s="307">
        <f t="shared" si="9"/>
        <v>16</v>
      </c>
      <c r="AV20" s="384">
        <f t="shared" si="32"/>
        <v>16.666666666666668</v>
      </c>
      <c r="AW20" s="305">
        <f t="shared" si="33"/>
        <v>16</v>
      </c>
      <c r="AX20" s="319">
        <f t="shared" si="34"/>
        <v>19.666666666666668</v>
      </c>
      <c r="AY20" s="321">
        <f t="shared" si="35"/>
        <v>19</v>
      </c>
      <c r="AZ20" s="384" cm="1">
        <f t="array" aca="1" ref="AZ20" ca="1">ROUNDUP(SUMPRODUCT(--($D$7:$AY$7=AZ$7),$D$3:$AY$3,$D20:$AY20),3)</f>
        <v>17.445</v>
      </c>
      <c r="BA20" s="305">
        <f t="shared" ca="1" si="36"/>
        <v>19</v>
      </c>
      <c r="BB20" s="319" cm="1">
        <f t="array" aca="1" ref="BB20" ca="1">ROUNDUP(SUMPRODUCT(--($D$7:$AY$7=BB$7),$D$3:$AY$3,$D20:$AY20),3)</f>
        <v>17.556000000000001</v>
      </c>
      <c r="BC20" s="321">
        <f t="shared" ca="1" si="37"/>
        <v>21</v>
      </c>
      <c r="BD20" s="451">
        <f t="shared" ca="1" si="38"/>
        <v>-2</v>
      </c>
    </row>
    <row r="21" spans="2:56" s="445" customFormat="1" ht="15" customHeight="1">
      <c r="B21" s="315" t="s">
        <v>5</v>
      </c>
      <c r="C21" s="316" t="s">
        <v>28</v>
      </c>
      <c r="D21" s="384">
        <v>77.52</v>
      </c>
      <c r="E21" s="305">
        <f t="shared" si="10"/>
        <v>3</v>
      </c>
      <c r="F21" s="319">
        <v>0</v>
      </c>
      <c r="G21" s="321">
        <f t="shared" si="11"/>
        <v>14</v>
      </c>
      <c r="H21" s="858"/>
      <c r="I21" s="859"/>
      <c r="J21" s="318">
        <v>13</v>
      </c>
      <c r="K21" s="307">
        <f t="shared" si="12"/>
        <v>13</v>
      </c>
      <c r="L21" s="384">
        <v>79.2</v>
      </c>
      <c r="M21" s="305">
        <f t="shared" si="13"/>
        <v>5</v>
      </c>
      <c r="N21" s="319">
        <v>78.599999999999994</v>
      </c>
      <c r="O21" s="307">
        <f t="shared" si="14"/>
        <v>7</v>
      </c>
      <c r="P21" s="384">
        <v>5.8999999999999997E-2</v>
      </c>
      <c r="Q21" s="410">
        <f t="shared" si="15"/>
        <v>11</v>
      </c>
      <c r="R21" s="319">
        <v>7.8</v>
      </c>
      <c r="S21" s="321">
        <f t="shared" si="7"/>
        <v>1</v>
      </c>
      <c r="T21" s="384">
        <f t="shared" si="16"/>
        <v>6.333333333333333</v>
      </c>
      <c r="U21" s="410">
        <f t="shared" si="17"/>
        <v>3</v>
      </c>
      <c r="V21" s="319">
        <f t="shared" si="18"/>
        <v>8.75</v>
      </c>
      <c r="W21" s="321">
        <f t="shared" si="19"/>
        <v>5</v>
      </c>
      <c r="X21" s="384">
        <v>140.02000000000001</v>
      </c>
      <c r="Y21" s="410">
        <f t="shared" si="20"/>
        <v>19</v>
      </c>
      <c r="Z21" s="319">
        <v>204.86</v>
      </c>
      <c r="AA21" s="321">
        <f t="shared" si="21"/>
        <v>23</v>
      </c>
      <c r="AB21" s="384">
        <v>68.3</v>
      </c>
      <c r="AC21" s="305">
        <f t="shared" si="22"/>
        <v>2</v>
      </c>
      <c r="AD21" s="319">
        <v>67.900000000000006</v>
      </c>
      <c r="AE21" s="321">
        <f t="shared" si="23"/>
        <v>2</v>
      </c>
      <c r="AF21" s="384">
        <f t="shared" si="24"/>
        <v>10.5</v>
      </c>
      <c r="AG21" s="305">
        <f t="shared" si="25"/>
        <v>6</v>
      </c>
      <c r="AH21" s="319">
        <f t="shared" si="26"/>
        <v>12.5</v>
      </c>
      <c r="AI21" s="307">
        <f t="shared" si="27"/>
        <v>7</v>
      </c>
      <c r="AJ21" s="384">
        <v>3.5</v>
      </c>
      <c r="AK21" s="305">
        <f t="shared" si="28"/>
        <v>2</v>
      </c>
      <c r="AL21" s="319">
        <v>74.400000000000006</v>
      </c>
      <c r="AM21" s="307">
        <f t="shared" si="29"/>
        <v>3</v>
      </c>
      <c r="AN21" s="384">
        <v>81.599999999999994</v>
      </c>
      <c r="AO21" s="305">
        <f t="shared" si="30"/>
        <v>1</v>
      </c>
      <c r="AP21" s="319">
        <v>74.3</v>
      </c>
      <c r="AQ21" s="307">
        <f t="shared" si="31"/>
        <v>1</v>
      </c>
      <c r="AR21" s="385">
        <v>27</v>
      </c>
      <c r="AS21" s="305">
        <f t="shared" si="8"/>
        <v>6</v>
      </c>
      <c r="AT21" s="319">
        <v>27</v>
      </c>
      <c r="AU21" s="307">
        <f t="shared" si="9"/>
        <v>8</v>
      </c>
      <c r="AV21" s="384">
        <f t="shared" si="32"/>
        <v>3</v>
      </c>
      <c r="AW21" s="305">
        <f t="shared" si="33"/>
        <v>1</v>
      </c>
      <c r="AX21" s="319">
        <f>AVERAGE(AM21,AQ21,AU21)</f>
        <v>4</v>
      </c>
      <c r="AY21" s="321">
        <f t="shared" si="35"/>
        <v>2</v>
      </c>
      <c r="AZ21" s="384" cm="1">
        <f t="array" aca="1" ref="AZ21" ca="1">ROUNDUP(SUMPRODUCT(--($D$7:$AY$7=AZ$7),$D$3:$AY$3,$D21:$AY21),3)</f>
        <v>6.6120000000000001</v>
      </c>
      <c r="BA21" s="305">
        <f t="shared" ca="1" si="36"/>
        <v>2</v>
      </c>
      <c r="BB21" s="319" cm="1">
        <f t="array" aca="1" ref="BB21" ca="1">ROUNDUP(SUMPRODUCT(--($D$7:$AY$7=BB$7),$D$3:$AY$3,$D21:$AY21),3)</f>
        <v>8.4169999999999998</v>
      </c>
      <c r="BC21" s="321">
        <f t="shared" ca="1" si="37"/>
        <v>3</v>
      </c>
      <c r="BD21" s="451">
        <f t="shared" ca="1" si="38"/>
        <v>-1</v>
      </c>
    </row>
    <row r="22" spans="2:56" s="445" customFormat="1" ht="15" customHeight="1">
      <c r="B22" s="315" t="s">
        <v>5</v>
      </c>
      <c r="C22" s="316" t="s">
        <v>341</v>
      </c>
      <c r="D22" s="384">
        <v>52.15</v>
      </c>
      <c r="E22" s="305">
        <f t="shared" si="10"/>
        <v>15</v>
      </c>
      <c r="F22" s="319">
        <v>0</v>
      </c>
      <c r="G22" s="321">
        <f t="shared" si="11"/>
        <v>14</v>
      </c>
      <c r="H22" s="858"/>
      <c r="I22" s="859"/>
      <c r="J22" s="318">
        <v>3</v>
      </c>
      <c r="K22" s="307">
        <f t="shared" si="12"/>
        <v>27</v>
      </c>
      <c r="L22" s="384">
        <v>75.599999999999994</v>
      </c>
      <c r="M22" s="305">
        <f t="shared" si="13"/>
        <v>17</v>
      </c>
      <c r="N22" s="319">
        <v>75.8</v>
      </c>
      <c r="O22" s="307">
        <f t="shared" si="14"/>
        <v>17</v>
      </c>
      <c r="P22" s="384">
        <v>5.8999999999999997E-2</v>
      </c>
      <c r="Q22" s="410">
        <f t="shared" si="15"/>
        <v>11</v>
      </c>
      <c r="R22" s="319">
        <v>1.43</v>
      </c>
      <c r="S22" s="321">
        <f t="shared" si="7"/>
        <v>20</v>
      </c>
      <c r="T22" s="384">
        <f t="shared" si="16"/>
        <v>14.333333333333334</v>
      </c>
      <c r="U22" s="410">
        <f t="shared" si="17"/>
        <v>16</v>
      </c>
      <c r="V22" s="319">
        <f t="shared" si="18"/>
        <v>19.5</v>
      </c>
      <c r="W22" s="321">
        <f t="shared" si="19"/>
        <v>29</v>
      </c>
      <c r="X22" s="384">
        <v>94.7</v>
      </c>
      <c r="Y22" s="410">
        <f t="shared" si="20"/>
        <v>8</v>
      </c>
      <c r="Z22" s="319">
        <v>146.19</v>
      </c>
      <c r="AA22" s="321">
        <f t="shared" si="21"/>
        <v>15</v>
      </c>
      <c r="AB22" s="384">
        <v>39</v>
      </c>
      <c r="AC22" s="305">
        <f t="shared" si="22"/>
        <v>15</v>
      </c>
      <c r="AD22" s="319">
        <v>46.7</v>
      </c>
      <c r="AE22" s="321">
        <f t="shared" si="23"/>
        <v>18</v>
      </c>
      <c r="AF22" s="384">
        <f t="shared" si="24"/>
        <v>11.5</v>
      </c>
      <c r="AG22" s="305">
        <f t="shared" si="25"/>
        <v>8</v>
      </c>
      <c r="AH22" s="319">
        <f t="shared" si="26"/>
        <v>16.5</v>
      </c>
      <c r="AI22" s="307">
        <f t="shared" si="27"/>
        <v>16</v>
      </c>
      <c r="AJ22" s="384">
        <v>1.1000000000000001</v>
      </c>
      <c r="AK22" s="305">
        <f t="shared" si="28"/>
        <v>17</v>
      </c>
      <c r="AL22" s="319">
        <v>28.1</v>
      </c>
      <c r="AM22" s="307">
        <f t="shared" si="29"/>
        <v>17</v>
      </c>
      <c r="AN22" s="384">
        <v>24.6</v>
      </c>
      <c r="AO22" s="305">
        <f t="shared" si="30"/>
        <v>14</v>
      </c>
      <c r="AP22" s="319">
        <v>27.4</v>
      </c>
      <c r="AQ22" s="307">
        <f t="shared" si="31"/>
        <v>14</v>
      </c>
      <c r="AR22" s="385">
        <v>15.2</v>
      </c>
      <c r="AS22" s="305">
        <f t="shared" si="8"/>
        <v>29</v>
      </c>
      <c r="AT22" s="319">
        <v>15.2</v>
      </c>
      <c r="AU22" s="307">
        <f t="shared" si="9"/>
        <v>28</v>
      </c>
      <c r="AV22" s="384">
        <f t="shared" si="32"/>
        <v>20</v>
      </c>
      <c r="AW22" s="305">
        <f t="shared" si="33"/>
        <v>19</v>
      </c>
      <c r="AX22" s="319">
        <f t="shared" ref="AX22:AX42" si="39">AVERAGE(AM22,AQ22,AU22)</f>
        <v>19.666666666666668</v>
      </c>
      <c r="AY22" s="321">
        <f t="shared" si="35"/>
        <v>19</v>
      </c>
      <c r="AZ22" s="384" cm="1">
        <f t="array" aca="1" ref="AZ22" ca="1">ROUNDUP(SUMPRODUCT(--($D$7:$AY$7=AZ$7),$D$3:$AY$3,$D22:$AY22),3)</f>
        <v>15.277999999999999</v>
      </c>
      <c r="BA22" s="305">
        <f t="shared" ca="1" si="36"/>
        <v>15</v>
      </c>
      <c r="BB22" s="319" cm="1">
        <f t="array" aca="1" ref="BB22" ca="1">ROUNDUP(SUMPRODUCT(--($D$7:$AY$7=BB$7),$D$3:$AY$3,$D22:$AY22),3)</f>
        <v>18.556000000000001</v>
      </c>
      <c r="BC22" s="321">
        <f t="shared" ca="1" si="37"/>
        <v>26</v>
      </c>
      <c r="BD22" s="451">
        <f t="shared" ca="1" si="38"/>
        <v>-11</v>
      </c>
    </row>
    <row r="23" spans="2:56" s="445" customFormat="1" ht="15" customHeight="1">
      <c r="B23" s="323" t="s">
        <v>5</v>
      </c>
      <c r="C23" s="324" t="s">
        <v>342</v>
      </c>
      <c r="D23" s="387">
        <v>71.319999999999993</v>
      </c>
      <c r="E23" s="326">
        <f t="shared" si="10"/>
        <v>7</v>
      </c>
      <c r="F23" s="331">
        <v>0</v>
      </c>
      <c r="G23" s="333">
        <f t="shared" si="11"/>
        <v>14</v>
      </c>
      <c r="H23" s="858"/>
      <c r="I23" s="859"/>
      <c r="J23" s="327">
        <v>15</v>
      </c>
      <c r="K23" s="328">
        <f t="shared" si="12"/>
        <v>8</v>
      </c>
      <c r="L23" s="387">
        <v>84.2</v>
      </c>
      <c r="M23" s="326">
        <f t="shared" si="13"/>
        <v>3</v>
      </c>
      <c r="N23" s="331">
        <v>81.8</v>
      </c>
      <c r="O23" s="328">
        <f t="shared" si="14"/>
        <v>4</v>
      </c>
      <c r="P23" s="387">
        <v>0.04</v>
      </c>
      <c r="Q23" s="416">
        <f t="shared" si="15"/>
        <v>5</v>
      </c>
      <c r="R23" s="331">
        <v>0.46</v>
      </c>
      <c r="S23" s="333">
        <f t="shared" si="7"/>
        <v>27</v>
      </c>
      <c r="T23" s="387">
        <f t="shared" si="16"/>
        <v>5</v>
      </c>
      <c r="U23" s="416">
        <f t="shared" si="17"/>
        <v>2</v>
      </c>
      <c r="V23" s="331">
        <f t="shared" si="18"/>
        <v>13.25</v>
      </c>
      <c r="W23" s="333">
        <f t="shared" si="19"/>
        <v>14</v>
      </c>
      <c r="X23" s="387">
        <v>227.23</v>
      </c>
      <c r="Y23" s="416">
        <f t="shared" si="20"/>
        <v>28</v>
      </c>
      <c r="Z23" s="331">
        <v>297.04000000000002</v>
      </c>
      <c r="AA23" s="333">
        <f t="shared" si="21"/>
        <v>28</v>
      </c>
      <c r="AB23" s="387">
        <v>44.2</v>
      </c>
      <c r="AC23" s="326">
        <f t="shared" si="22"/>
        <v>13</v>
      </c>
      <c r="AD23" s="331">
        <v>63.7</v>
      </c>
      <c r="AE23" s="333">
        <f t="shared" si="23"/>
        <v>3</v>
      </c>
      <c r="AF23" s="387">
        <f t="shared" si="24"/>
        <v>20.5</v>
      </c>
      <c r="AG23" s="326">
        <f t="shared" si="25"/>
        <v>23</v>
      </c>
      <c r="AH23" s="331">
        <f>AVERAGE(AA23,AE23)</f>
        <v>15.5</v>
      </c>
      <c r="AI23" s="328">
        <f t="shared" si="27"/>
        <v>13</v>
      </c>
      <c r="AJ23" s="387">
        <v>1.7</v>
      </c>
      <c r="AK23" s="326">
        <f t="shared" si="28"/>
        <v>12</v>
      </c>
      <c r="AL23" s="331">
        <v>71.3</v>
      </c>
      <c r="AM23" s="328">
        <f t="shared" si="29"/>
        <v>5</v>
      </c>
      <c r="AN23" s="387">
        <v>61.9</v>
      </c>
      <c r="AO23" s="326">
        <f t="shared" si="30"/>
        <v>8</v>
      </c>
      <c r="AP23" s="331">
        <v>60.6</v>
      </c>
      <c r="AQ23" s="328">
        <f t="shared" si="31"/>
        <v>7</v>
      </c>
      <c r="AR23" s="388">
        <v>26.2</v>
      </c>
      <c r="AS23" s="326">
        <f t="shared" si="8"/>
        <v>7</v>
      </c>
      <c r="AT23" s="331">
        <v>22.8</v>
      </c>
      <c r="AU23" s="328">
        <f t="shared" si="9"/>
        <v>14</v>
      </c>
      <c r="AV23" s="387">
        <f t="shared" si="32"/>
        <v>9</v>
      </c>
      <c r="AW23" s="326">
        <f t="shared" si="33"/>
        <v>8</v>
      </c>
      <c r="AX23" s="331">
        <f t="shared" si="39"/>
        <v>8.6666666666666661</v>
      </c>
      <c r="AY23" s="333">
        <f t="shared" si="35"/>
        <v>6</v>
      </c>
      <c r="AZ23" s="387" cm="1">
        <f t="array" aca="1" ref="AZ23" ca="1">ROUNDUP(SUMPRODUCT(--($D$7:$AY$7=AZ$7),$D$3:$AY$3,$D23:$AY23),3)</f>
        <v>11.5</v>
      </c>
      <c r="BA23" s="326">
        <f t="shared" ca="1" si="36"/>
        <v>8</v>
      </c>
      <c r="BB23" s="331" cm="1">
        <f t="array" aca="1" ref="BB23" ca="1">ROUNDUP(SUMPRODUCT(--($D$7:$AY$7=BB$7),$D$3:$AY$3,$D23:$AY23),3)</f>
        <v>12.472999999999999</v>
      </c>
      <c r="BC23" s="333">
        <f t="shared" ca="1" si="37"/>
        <v>9</v>
      </c>
      <c r="BD23" s="451">
        <f t="shared" ca="1" si="38"/>
        <v>-1</v>
      </c>
    </row>
    <row r="24" spans="2:56" s="445" customFormat="1" ht="15" customHeight="1">
      <c r="B24" s="301" t="s">
        <v>40</v>
      </c>
      <c r="C24" s="302" t="s">
        <v>343</v>
      </c>
      <c r="D24" s="381">
        <v>29.67</v>
      </c>
      <c r="E24" s="304">
        <f t="shared" si="10"/>
        <v>19</v>
      </c>
      <c r="F24" s="309">
        <v>48.52</v>
      </c>
      <c r="G24" s="313">
        <f t="shared" si="11"/>
        <v>11</v>
      </c>
      <c r="H24" s="858"/>
      <c r="I24" s="859"/>
      <c r="J24" s="306">
        <v>4</v>
      </c>
      <c r="K24" s="312">
        <f t="shared" si="12"/>
        <v>25</v>
      </c>
      <c r="L24" s="381">
        <v>68</v>
      </c>
      <c r="M24" s="304">
        <f t="shared" si="13"/>
        <v>27</v>
      </c>
      <c r="N24" s="309">
        <v>68.2</v>
      </c>
      <c r="O24" s="312">
        <f t="shared" si="14"/>
        <v>25</v>
      </c>
      <c r="P24" s="381">
        <v>0.255</v>
      </c>
      <c r="Q24" s="404">
        <f t="shared" si="15"/>
        <v>27</v>
      </c>
      <c r="R24" s="309">
        <v>3.14</v>
      </c>
      <c r="S24" s="313">
        <f t="shared" si="7"/>
        <v>10</v>
      </c>
      <c r="T24" s="381">
        <f t="shared" si="16"/>
        <v>24.333333333333332</v>
      </c>
      <c r="U24" s="404">
        <f t="shared" si="17"/>
        <v>30</v>
      </c>
      <c r="V24" s="309">
        <f t="shared" si="18"/>
        <v>17.75</v>
      </c>
      <c r="W24" s="313">
        <f t="shared" si="19"/>
        <v>21</v>
      </c>
      <c r="X24" s="381">
        <v>78</v>
      </c>
      <c r="Y24" s="404">
        <f t="shared" si="20"/>
        <v>4</v>
      </c>
      <c r="Z24" s="309">
        <v>81</v>
      </c>
      <c r="AA24" s="313">
        <f t="shared" si="21"/>
        <v>2</v>
      </c>
      <c r="AB24" s="381">
        <v>20.3</v>
      </c>
      <c r="AC24" s="304">
        <f t="shared" si="22"/>
        <v>30</v>
      </c>
      <c r="AD24" s="309">
        <v>19</v>
      </c>
      <c r="AE24" s="313">
        <f t="shared" si="23"/>
        <v>30</v>
      </c>
      <c r="AF24" s="381">
        <f t="shared" si="24"/>
        <v>17</v>
      </c>
      <c r="AG24" s="304">
        <f t="shared" si="25"/>
        <v>17</v>
      </c>
      <c r="AH24" s="309">
        <f t="shared" ref="AH24:AH42" si="40">AVERAGE(AA24,AE24)</f>
        <v>16</v>
      </c>
      <c r="AI24" s="312">
        <f t="shared" si="27"/>
        <v>15</v>
      </c>
      <c r="AJ24" s="381">
        <v>0.05</v>
      </c>
      <c r="AK24" s="304">
        <f t="shared" si="28"/>
        <v>29</v>
      </c>
      <c r="AL24" s="309">
        <v>0.17</v>
      </c>
      <c r="AM24" s="312">
        <f t="shared" si="29"/>
        <v>29</v>
      </c>
      <c r="AN24" s="381">
        <v>3.2</v>
      </c>
      <c r="AO24" s="304">
        <f t="shared" si="30"/>
        <v>29</v>
      </c>
      <c r="AP24" s="309">
        <v>12</v>
      </c>
      <c r="AQ24" s="312">
        <f t="shared" si="31"/>
        <v>26</v>
      </c>
      <c r="AR24" s="382">
        <v>15.5</v>
      </c>
      <c r="AS24" s="304">
        <f t="shared" si="8"/>
        <v>26</v>
      </c>
      <c r="AT24" s="309">
        <v>4</v>
      </c>
      <c r="AU24" s="312">
        <f t="shared" si="9"/>
        <v>30</v>
      </c>
      <c r="AV24" s="381">
        <f t="shared" si="32"/>
        <v>28</v>
      </c>
      <c r="AW24" s="304">
        <f t="shared" si="33"/>
        <v>29</v>
      </c>
      <c r="AX24" s="309">
        <f t="shared" si="39"/>
        <v>28.333333333333332</v>
      </c>
      <c r="AY24" s="313">
        <f t="shared" si="35"/>
        <v>30</v>
      </c>
      <c r="AZ24" s="381" cm="1">
        <f t="array" aca="1" ref="AZ24" ca="1">ROUNDUP(SUMPRODUCT(--($D$7:$AY$7=AZ$7),$D$3:$AY$3,$D24:$AY24),3)</f>
        <v>23.112000000000002</v>
      </c>
      <c r="BA24" s="304">
        <f t="shared" ca="1" si="36"/>
        <v>29</v>
      </c>
      <c r="BB24" s="309" cm="1">
        <f t="array" aca="1" ref="BB24" ca="1">ROUNDUP(SUMPRODUCT(--($D$7:$AY$7=BB$7),$D$3:$AY$3,$D24:$AY24),3)</f>
        <v>20.695</v>
      </c>
      <c r="BC24" s="313">
        <f t="shared" ca="1" si="37"/>
        <v>29</v>
      </c>
      <c r="BD24" s="451">
        <f t="shared" ca="1" si="38"/>
        <v>0</v>
      </c>
    </row>
    <row r="25" spans="2:56" s="445" customFormat="1" ht="15" customHeight="1">
      <c r="B25" s="315" t="s">
        <v>40</v>
      </c>
      <c r="C25" s="316" t="s">
        <v>344</v>
      </c>
      <c r="D25" s="384">
        <v>82.56</v>
      </c>
      <c r="E25" s="305">
        <f t="shared" si="10"/>
        <v>1</v>
      </c>
      <c r="F25" s="319">
        <v>74.13</v>
      </c>
      <c r="G25" s="321">
        <f t="shared" si="11"/>
        <v>2</v>
      </c>
      <c r="H25" s="858"/>
      <c r="I25" s="859"/>
      <c r="J25" s="318">
        <v>2</v>
      </c>
      <c r="K25" s="307">
        <f t="shared" si="12"/>
        <v>29</v>
      </c>
      <c r="L25" s="384">
        <v>68.599999999999994</v>
      </c>
      <c r="M25" s="305">
        <f t="shared" si="13"/>
        <v>26</v>
      </c>
      <c r="N25" s="319">
        <v>64.400000000000006</v>
      </c>
      <c r="O25" s="307">
        <f t="shared" si="14"/>
        <v>27</v>
      </c>
      <c r="P25" s="384">
        <v>6.7000000000000004E-2</v>
      </c>
      <c r="Q25" s="410">
        <f t="shared" si="15"/>
        <v>13</v>
      </c>
      <c r="R25" s="319">
        <v>1.56</v>
      </c>
      <c r="S25" s="321">
        <f t="shared" si="7"/>
        <v>19</v>
      </c>
      <c r="T25" s="384">
        <f t="shared" si="16"/>
        <v>13.333333333333334</v>
      </c>
      <c r="U25" s="410">
        <f t="shared" si="17"/>
        <v>13</v>
      </c>
      <c r="V25" s="319">
        <f>AVERAGE(G25,K25,O25,S25)</f>
        <v>19.25</v>
      </c>
      <c r="W25" s="321">
        <f t="shared" si="19"/>
        <v>28</v>
      </c>
      <c r="X25" s="384">
        <v>100.93</v>
      </c>
      <c r="Y25" s="410">
        <f t="shared" si="20"/>
        <v>13</v>
      </c>
      <c r="Z25" s="319">
        <v>103.84</v>
      </c>
      <c r="AA25" s="321">
        <f t="shared" si="21"/>
        <v>6</v>
      </c>
      <c r="AB25" s="384">
        <v>22.8</v>
      </c>
      <c r="AC25" s="305">
        <f t="shared" si="22"/>
        <v>28</v>
      </c>
      <c r="AD25" s="319">
        <v>30</v>
      </c>
      <c r="AE25" s="321">
        <f t="shared" si="23"/>
        <v>28</v>
      </c>
      <c r="AF25" s="384">
        <f t="shared" si="24"/>
        <v>20.5</v>
      </c>
      <c r="AG25" s="305">
        <f t="shared" si="25"/>
        <v>23</v>
      </c>
      <c r="AH25" s="319">
        <f t="shared" si="40"/>
        <v>17</v>
      </c>
      <c r="AI25" s="307">
        <f t="shared" si="27"/>
        <v>18</v>
      </c>
      <c r="AJ25" s="384">
        <v>0.5</v>
      </c>
      <c r="AK25" s="305">
        <f t="shared" si="28"/>
        <v>22</v>
      </c>
      <c r="AL25" s="319">
        <v>3.7</v>
      </c>
      <c r="AM25" s="307">
        <f t="shared" si="29"/>
        <v>28</v>
      </c>
      <c r="AN25" s="384">
        <v>11.6</v>
      </c>
      <c r="AO25" s="305">
        <f t="shared" si="30"/>
        <v>24</v>
      </c>
      <c r="AP25" s="319">
        <v>13.1</v>
      </c>
      <c r="AQ25" s="307">
        <f t="shared" si="31"/>
        <v>24</v>
      </c>
      <c r="AR25" s="385">
        <v>20.399999999999999</v>
      </c>
      <c r="AS25" s="305">
        <f t="shared" si="8"/>
        <v>18</v>
      </c>
      <c r="AT25" s="319">
        <v>28.9</v>
      </c>
      <c r="AU25" s="307">
        <f t="shared" si="9"/>
        <v>5</v>
      </c>
      <c r="AV25" s="384">
        <f t="shared" si="32"/>
        <v>21.333333333333332</v>
      </c>
      <c r="AW25" s="305">
        <f t="shared" si="33"/>
        <v>24</v>
      </c>
      <c r="AX25" s="319">
        <f t="shared" si="39"/>
        <v>19</v>
      </c>
      <c r="AY25" s="321">
        <f t="shared" si="35"/>
        <v>16</v>
      </c>
      <c r="AZ25" s="384" cm="1">
        <f t="array" aca="1" ref="AZ25" ca="1">ROUNDUP(SUMPRODUCT(--($D$7:$AY$7=AZ$7),$D$3:$AY$3,$D25:$AY25),3)</f>
        <v>18.389000000000003</v>
      </c>
      <c r="BA25" s="305">
        <f t="shared" ca="1" si="36"/>
        <v>24</v>
      </c>
      <c r="BB25" s="319" cm="1">
        <f t="array" aca="1" ref="BB25" ca="1">ROUNDUP(SUMPRODUCT(--($D$7:$AY$7=BB$7),$D$3:$AY$3,$D25:$AY25),3)</f>
        <v>18.417000000000002</v>
      </c>
      <c r="BC25" s="321">
        <f t="shared" ca="1" si="37"/>
        <v>25</v>
      </c>
      <c r="BD25" s="451">
        <f t="shared" ca="1" si="38"/>
        <v>-1</v>
      </c>
    </row>
    <row r="26" spans="2:56" s="445" customFormat="1" ht="15" customHeight="1">
      <c r="B26" s="323" t="s">
        <v>40</v>
      </c>
      <c r="C26" s="324" t="s">
        <v>32</v>
      </c>
      <c r="D26" s="387">
        <v>37.880000000000003</v>
      </c>
      <c r="E26" s="326">
        <f t="shared" si="10"/>
        <v>17</v>
      </c>
      <c r="F26" s="331">
        <v>44.76</v>
      </c>
      <c r="G26" s="333">
        <f t="shared" si="11"/>
        <v>13</v>
      </c>
      <c r="H26" s="858"/>
      <c r="I26" s="859"/>
      <c r="J26" s="327">
        <v>7</v>
      </c>
      <c r="K26" s="328">
        <f t="shared" si="12"/>
        <v>22</v>
      </c>
      <c r="L26" s="387">
        <v>72.2</v>
      </c>
      <c r="M26" s="326">
        <f t="shared" si="13"/>
        <v>23</v>
      </c>
      <c r="N26" s="331">
        <v>72.400000000000006</v>
      </c>
      <c r="O26" s="328">
        <f t="shared" si="14"/>
        <v>22</v>
      </c>
      <c r="P26" s="387">
        <v>5.5E-2</v>
      </c>
      <c r="Q26" s="416">
        <f t="shared" si="15"/>
        <v>9</v>
      </c>
      <c r="R26" s="331">
        <v>2.23</v>
      </c>
      <c r="S26" s="333">
        <f t="shared" si="7"/>
        <v>16</v>
      </c>
      <c r="T26" s="387">
        <f t="shared" si="16"/>
        <v>16.333333333333332</v>
      </c>
      <c r="U26" s="416">
        <f t="shared" si="17"/>
        <v>18</v>
      </c>
      <c r="V26" s="331">
        <f t="shared" ref="V26:V42" si="41">AVERAGE(G26,K26,O26,S26)</f>
        <v>18.25</v>
      </c>
      <c r="W26" s="333">
        <f t="shared" si="19"/>
        <v>24</v>
      </c>
      <c r="X26" s="387">
        <v>65.09</v>
      </c>
      <c r="Y26" s="416">
        <f t="shared" si="20"/>
        <v>1</v>
      </c>
      <c r="Z26" s="331">
        <v>81.25</v>
      </c>
      <c r="AA26" s="333">
        <f t="shared" si="21"/>
        <v>3</v>
      </c>
      <c r="AB26" s="387">
        <v>31.4</v>
      </c>
      <c r="AC26" s="326">
        <f t="shared" si="22"/>
        <v>22</v>
      </c>
      <c r="AD26" s="331">
        <v>39.299999999999997</v>
      </c>
      <c r="AE26" s="333">
        <f t="shared" si="23"/>
        <v>23</v>
      </c>
      <c r="AF26" s="387">
        <f t="shared" si="24"/>
        <v>11.5</v>
      </c>
      <c r="AG26" s="326">
        <f t="shared" si="25"/>
        <v>8</v>
      </c>
      <c r="AH26" s="331">
        <f t="shared" si="40"/>
        <v>13</v>
      </c>
      <c r="AI26" s="328">
        <f t="shared" si="27"/>
        <v>8</v>
      </c>
      <c r="AJ26" s="387">
        <v>0.6</v>
      </c>
      <c r="AK26" s="326">
        <f t="shared" si="28"/>
        <v>21</v>
      </c>
      <c r="AL26" s="331">
        <v>12.2</v>
      </c>
      <c r="AM26" s="328">
        <f t="shared" si="29"/>
        <v>26</v>
      </c>
      <c r="AN26" s="387">
        <v>17.7</v>
      </c>
      <c r="AO26" s="326">
        <f t="shared" si="30"/>
        <v>21</v>
      </c>
      <c r="AP26" s="331">
        <v>23.5</v>
      </c>
      <c r="AQ26" s="328">
        <f t="shared" si="31"/>
        <v>18</v>
      </c>
      <c r="AR26" s="388">
        <v>18.3</v>
      </c>
      <c r="AS26" s="326">
        <f t="shared" si="8"/>
        <v>25</v>
      </c>
      <c r="AT26" s="331">
        <v>17.399999999999999</v>
      </c>
      <c r="AU26" s="328">
        <f t="shared" si="9"/>
        <v>26</v>
      </c>
      <c r="AV26" s="387">
        <f t="shared" si="32"/>
        <v>22.333333333333332</v>
      </c>
      <c r="AW26" s="326">
        <f t="shared" si="33"/>
        <v>26</v>
      </c>
      <c r="AX26" s="331">
        <f t="shared" si="39"/>
        <v>23.333333333333332</v>
      </c>
      <c r="AY26" s="333">
        <f t="shared" si="35"/>
        <v>26</v>
      </c>
      <c r="AZ26" s="387" cm="1">
        <f t="array" aca="1" ref="AZ26" ca="1">ROUNDUP(SUMPRODUCT(--($D$7:$AY$7=AZ$7),$D$3:$AY$3,$D26:$AY26),3)</f>
        <v>16.723000000000003</v>
      </c>
      <c r="BA26" s="326">
        <f t="shared" ca="1" si="36"/>
        <v>17</v>
      </c>
      <c r="BB26" s="331" cm="1">
        <f t="array" aca="1" ref="BB26" ca="1">ROUNDUP(SUMPRODUCT(--($D$7:$AY$7=BB$7),$D$3:$AY$3,$D26:$AY26),3)</f>
        <v>18.195</v>
      </c>
      <c r="BC26" s="333">
        <f t="shared" ca="1" si="37"/>
        <v>24</v>
      </c>
      <c r="BD26" s="451">
        <f t="shared" ca="1" si="38"/>
        <v>-7</v>
      </c>
    </row>
    <row r="27" spans="2:56" s="445" customFormat="1" ht="15" customHeight="1">
      <c r="B27" s="337" t="s">
        <v>56</v>
      </c>
      <c r="C27" s="302" t="s">
        <v>29</v>
      </c>
      <c r="D27" s="381">
        <v>72.59</v>
      </c>
      <c r="E27" s="304">
        <f t="shared" si="10"/>
        <v>6</v>
      </c>
      <c r="F27" s="309">
        <v>73.62</v>
      </c>
      <c r="G27" s="313">
        <f t="shared" si="11"/>
        <v>4</v>
      </c>
      <c r="H27" s="858"/>
      <c r="I27" s="859"/>
      <c r="J27" s="306">
        <v>17</v>
      </c>
      <c r="K27" s="312">
        <f t="shared" si="12"/>
        <v>4</v>
      </c>
      <c r="L27" s="381">
        <v>83.2</v>
      </c>
      <c r="M27" s="304">
        <f t="shared" si="13"/>
        <v>4</v>
      </c>
      <c r="N27" s="309">
        <v>83.4</v>
      </c>
      <c r="O27" s="312">
        <f t="shared" si="14"/>
        <v>3</v>
      </c>
      <c r="P27" s="381">
        <v>0.161</v>
      </c>
      <c r="Q27" s="404">
        <f t="shared" si="15"/>
        <v>23</v>
      </c>
      <c r="R27" s="309">
        <v>2.48</v>
      </c>
      <c r="S27" s="313">
        <f t="shared" si="7"/>
        <v>13</v>
      </c>
      <c r="T27" s="381">
        <f t="shared" si="16"/>
        <v>11</v>
      </c>
      <c r="U27" s="404">
        <f t="shared" si="17"/>
        <v>11</v>
      </c>
      <c r="V27" s="309">
        <f t="shared" si="41"/>
        <v>6</v>
      </c>
      <c r="W27" s="313">
        <f t="shared" si="19"/>
        <v>1</v>
      </c>
      <c r="X27" s="381">
        <v>97.43</v>
      </c>
      <c r="Y27" s="404">
        <f t="shared" si="20"/>
        <v>10</v>
      </c>
      <c r="Z27" s="309">
        <v>75.08</v>
      </c>
      <c r="AA27" s="313">
        <f t="shared" si="21"/>
        <v>1</v>
      </c>
      <c r="AB27" s="381">
        <v>64.599999999999994</v>
      </c>
      <c r="AC27" s="304">
        <f t="shared" si="22"/>
        <v>3</v>
      </c>
      <c r="AD27" s="309">
        <v>56</v>
      </c>
      <c r="AE27" s="313">
        <f t="shared" si="23"/>
        <v>13</v>
      </c>
      <c r="AF27" s="381">
        <f t="shared" si="24"/>
        <v>6.5</v>
      </c>
      <c r="AG27" s="304">
        <f t="shared" si="25"/>
        <v>3</v>
      </c>
      <c r="AH27" s="309">
        <f t="shared" si="40"/>
        <v>7</v>
      </c>
      <c r="AI27" s="312">
        <f t="shared" si="27"/>
        <v>2</v>
      </c>
      <c r="AJ27" s="381">
        <v>1.7</v>
      </c>
      <c r="AK27" s="304">
        <f t="shared" si="28"/>
        <v>12</v>
      </c>
      <c r="AL27" s="309">
        <v>56</v>
      </c>
      <c r="AM27" s="312">
        <f t="shared" si="29"/>
        <v>11</v>
      </c>
      <c r="AN27" s="381">
        <v>45.7</v>
      </c>
      <c r="AO27" s="304">
        <f t="shared" si="30"/>
        <v>10</v>
      </c>
      <c r="AP27" s="309">
        <v>49</v>
      </c>
      <c r="AQ27" s="312">
        <f t="shared" si="31"/>
        <v>10</v>
      </c>
      <c r="AR27" s="382">
        <v>25.1</v>
      </c>
      <c r="AS27" s="304">
        <f t="shared" si="8"/>
        <v>11</v>
      </c>
      <c r="AT27" s="309">
        <v>25.7</v>
      </c>
      <c r="AU27" s="312">
        <f t="shared" si="9"/>
        <v>13</v>
      </c>
      <c r="AV27" s="381">
        <f t="shared" si="32"/>
        <v>11</v>
      </c>
      <c r="AW27" s="304">
        <f t="shared" si="33"/>
        <v>11</v>
      </c>
      <c r="AX27" s="309">
        <f t="shared" si="39"/>
        <v>11.333333333333334</v>
      </c>
      <c r="AY27" s="313">
        <f t="shared" si="35"/>
        <v>10</v>
      </c>
      <c r="AZ27" s="381" cm="1">
        <f t="array" aca="1" ref="AZ27" ca="1">ROUNDUP(SUMPRODUCT(--($D$7:$AY$7=AZ$7),$D$3:$AY$3,$D27:$AY27),3)</f>
        <v>9.5</v>
      </c>
      <c r="BA27" s="304">
        <f t="shared" ca="1" si="36"/>
        <v>4</v>
      </c>
      <c r="BB27" s="309" cm="1">
        <f t="array" aca="1" ref="BB27" ca="1">ROUNDUP(SUMPRODUCT(--($D$7:$AY$7=BB$7),$D$3:$AY$3,$D27:$AY27),3)</f>
        <v>8.1120000000000001</v>
      </c>
      <c r="BC27" s="313">
        <f t="shared" ca="1" si="37"/>
        <v>2</v>
      </c>
      <c r="BD27" s="451">
        <f t="shared" ca="1" si="38"/>
        <v>2</v>
      </c>
    </row>
    <row r="28" spans="2:56" s="445" customFormat="1" ht="15" customHeight="1">
      <c r="B28" s="339" t="s">
        <v>56</v>
      </c>
      <c r="C28" s="316" t="s">
        <v>12</v>
      </c>
      <c r="D28" s="384">
        <v>66.459999999999994</v>
      </c>
      <c r="E28" s="305">
        <f t="shared" si="10"/>
        <v>9</v>
      </c>
      <c r="F28" s="319">
        <v>60.16</v>
      </c>
      <c r="G28" s="321">
        <f t="shared" si="11"/>
        <v>9</v>
      </c>
      <c r="H28" s="858"/>
      <c r="I28" s="859"/>
      <c r="J28" s="318">
        <v>4</v>
      </c>
      <c r="K28" s="307">
        <f t="shared" si="12"/>
        <v>25</v>
      </c>
      <c r="L28" s="384">
        <v>76.599999999999994</v>
      </c>
      <c r="M28" s="305">
        <f t="shared" si="13"/>
        <v>16</v>
      </c>
      <c r="N28" s="319">
        <v>76.8</v>
      </c>
      <c r="O28" s="307">
        <f t="shared" si="14"/>
        <v>16</v>
      </c>
      <c r="P28" s="384">
        <v>0.188</v>
      </c>
      <c r="Q28" s="410">
        <f t="shared" si="15"/>
        <v>24</v>
      </c>
      <c r="R28" s="319">
        <v>2.5</v>
      </c>
      <c r="S28" s="321">
        <f t="shared" si="7"/>
        <v>12</v>
      </c>
      <c r="T28" s="384">
        <f t="shared" si="16"/>
        <v>16.333333333333332</v>
      </c>
      <c r="U28" s="410">
        <f t="shared" si="17"/>
        <v>18</v>
      </c>
      <c r="V28" s="319">
        <f t="shared" si="41"/>
        <v>15.5</v>
      </c>
      <c r="W28" s="321">
        <f t="shared" si="19"/>
        <v>17</v>
      </c>
      <c r="X28" s="384">
        <v>149.6</v>
      </c>
      <c r="Y28" s="410">
        <f t="shared" si="20"/>
        <v>20</v>
      </c>
      <c r="Z28" s="319">
        <v>156.06</v>
      </c>
      <c r="AA28" s="321">
        <f t="shared" si="21"/>
        <v>16</v>
      </c>
      <c r="AB28" s="384">
        <v>28.7</v>
      </c>
      <c r="AC28" s="305">
        <f t="shared" si="22"/>
        <v>24</v>
      </c>
      <c r="AD28" s="319">
        <v>40.4</v>
      </c>
      <c r="AE28" s="321">
        <f t="shared" si="23"/>
        <v>21</v>
      </c>
      <c r="AF28" s="384">
        <f t="shared" si="24"/>
        <v>22</v>
      </c>
      <c r="AG28" s="305">
        <f t="shared" si="25"/>
        <v>26</v>
      </c>
      <c r="AH28" s="319">
        <f t="shared" si="40"/>
        <v>18.5</v>
      </c>
      <c r="AI28" s="307">
        <f t="shared" si="27"/>
        <v>24</v>
      </c>
      <c r="AJ28" s="384">
        <v>0.3</v>
      </c>
      <c r="AK28" s="305">
        <f t="shared" si="28"/>
        <v>25</v>
      </c>
      <c r="AL28" s="319">
        <v>26.1</v>
      </c>
      <c r="AM28" s="307">
        <f t="shared" si="29"/>
        <v>18</v>
      </c>
      <c r="AN28" s="384">
        <v>10.1</v>
      </c>
      <c r="AO28" s="305">
        <f t="shared" si="30"/>
        <v>26</v>
      </c>
      <c r="AP28" s="319">
        <v>11.2</v>
      </c>
      <c r="AQ28" s="307">
        <f t="shared" si="31"/>
        <v>27</v>
      </c>
      <c r="AR28" s="385">
        <v>25.8</v>
      </c>
      <c r="AS28" s="305">
        <f t="shared" si="8"/>
        <v>10</v>
      </c>
      <c r="AT28" s="319">
        <v>25.8</v>
      </c>
      <c r="AU28" s="307">
        <f t="shared" si="9"/>
        <v>12</v>
      </c>
      <c r="AV28" s="384">
        <f t="shared" si="32"/>
        <v>20.333333333333332</v>
      </c>
      <c r="AW28" s="305">
        <f t="shared" si="33"/>
        <v>21</v>
      </c>
      <c r="AX28" s="319">
        <f t="shared" si="39"/>
        <v>19</v>
      </c>
      <c r="AY28" s="321">
        <f t="shared" si="35"/>
        <v>16</v>
      </c>
      <c r="AZ28" s="384" cm="1">
        <f t="array" aca="1" ref="AZ28" ca="1">ROUNDUP(SUMPRODUCT(--($D$7:$AY$7=AZ$7),$D$3:$AY$3,$D28:$AY28),3)</f>
        <v>19.556000000000001</v>
      </c>
      <c r="BA28" s="305">
        <f t="shared" ca="1" si="36"/>
        <v>26</v>
      </c>
      <c r="BB28" s="319" cm="1">
        <f t="array" aca="1" ref="BB28" ca="1">ROUNDUP(SUMPRODUCT(--($D$7:$AY$7=BB$7),$D$3:$AY$3,$D28:$AY28),3)</f>
        <v>17.667000000000002</v>
      </c>
      <c r="BC28" s="321">
        <f t="shared" ca="1" si="37"/>
        <v>23</v>
      </c>
      <c r="BD28" s="451">
        <f t="shared" ca="1" si="38"/>
        <v>3</v>
      </c>
    </row>
    <row r="29" spans="2:56" s="445" customFormat="1" ht="15" customHeight="1">
      <c r="B29" s="341" t="s">
        <v>56</v>
      </c>
      <c r="C29" s="324" t="s">
        <v>345</v>
      </c>
      <c r="D29" s="387">
        <v>72.75</v>
      </c>
      <c r="E29" s="326">
        <f t="shared" si="10"/>
        <v>5</v>
      </c>
      <c r="F29" s="331">
        <v>74.8</v>
      </c>
      <c r="G29" s="333">
        <f t="shared" si="11"/>
        <v>1</v>
      </c>
      <c r="H29" s="858"/>
      <c r="I29" s="859"/>
      <c r="J29" s="327">
        <v>19</v>
      </c>
      <c r="K29" s="328">
        <f t="shared" si="12"/>
        <v>1</v>
      </c>
      <c r="L29" s="387">
        <v>75.2</v>
      </c>
      <c r="M29" s="326">
        <f t="shared" si="13"/>
        <v>19</v>
      </c>
      <c r="N29" s="331">
        <v>75.400000000000006</v>
      </c>
      <c r="O29" s="328">
        <f t="shared" si="14"/>
        <v>18</v>
      </c>
      <c r="P29" s="387">
        <v>8.8999999999999996E-2</v>
      </c>
      <c r="Q29" s="416">
        <f t="shared" si="15"/>
        <v>18</v>
      </c>
      <c r="R29" s="331">
        <v>1.1100000000000001</v>
      </c>
      <c r="S29" s="333">
        <f t="shared" si="7"/>
        <v>23</v>
      </c>
      <c r="T29" s="387">
        <f t="shared" si="16"/>
        <v>14</v>
      </c>
      <c r="U29" s="416">
        <f t="shared" si="17"/>
        <v>15</v>
      </c>
      <c r="V29" s="331">
        <f t="shared" si="41"/>
        <v>10.75</v>
      </c>
      <c r="W29" s="333">
        <f t="shared" si="19"/>
        <v>8</v>
      </c>
      <c r="X29" s="387">
        <v>92.63</v>
      </c>
      <c r="Y29" s="416">
        <f t="shared" si="20"/>
        <v>7</v>
      </c>
      <c r="Z29" s="331">
        <v>124.18</v>
      </c>
      <c r="AA29" s="333">
        <f t="shared" si="21"/>
        <v>12</v>
      </c>
      <c r="AB29" s="387">
        <v>58.6</v>
      </c>
      <c r="AC29" s="326">
        <f t="shared" si="22"/>
        <v>6</v>
      </c>
      <c r="AD29" s="331">
        <v>56.7</v>
      </c>
      <c r="AE29" s="333">
        <f t="shared" si="23"/>
        <v>11</v>
      </c>
      <c r="AF29" s="387">
        <f t="shared" si="24"/>
        <v>6.5</v>
      </c>
      <c r="AG29" s="326">
        <f t="shared" si="25"/>
        <v>3</v>
      </c>
      <c r="AH29" s="331">
        <f t="shared" si="40"/>
        <v>11.5</v>
      </c>
      <c r="AI29" s="328">
        <f t="shared" si="27"/>
        <v>5</v>
      </c>
      <c r="AJ29" s="387">
        <v>3.5</v>
      </c>
      <c r="AK29" s="326">
        <f t="shared" si="28"/>
        <v>2</v>
      </c>
      <c r="AL29" s="331">
        <v>77.2</v>
      </c>
      <c r="AM29" s="328">
        <f t="shared" si="29"/>
        <v>2</v>
      </c>
      <c r="AN29" s="387">
        <v>69.599999999999994</v>
      </c>
      <c r="AO29" s="326">
        <f t="shared" si="30"/>
        <v>2</v>
      </c>
      <c r="AP29" s="331">
        <v>61.2</v>
      </c>
      <c r="AQ29" s="328">
        <f t="shared" si="31"/>
        <v>6</v>
      </c>
      <c r="AR29" s="388">
        <v>19.2</v>
      </c>
      <c r="AS29" s="326">
        <f t="shared" si="8"/>
        <v>22</v>
      </c>
      <c r="AT29" s="331">
        <v>20.100000000000001</v>
      </c>
      <c r="AU29" s="328">
        <f t="shared" si="9"/>
        <v>20</v>
      </c>
      <c r="AV29" s="387">
        <f t="shared" si="32"/>
        <v>8.6666666666666661</v>
      </c>
      <c r="AW29" s="326">
        <f t="shared" si="33"/>
        <v>6</v>
      </c>
      <c r="AX29" s="331">
        <f t="shared" si="39"/>
        <v>9.3333333333333339</v>
      </c>
      <c r="AY29" s="333">
        <f t="shared" si="35"/>
        <v>7</v>
      </c>
      <c r="AZ29" s="387" cm="1">
        <f t="array" aca="1" ref="AZ29" ca="1">ROUNDUP(SUMPRODUCT(--($D$7:$AY$7=AZ$7),$D$3:$AY$3,$D29:$AY29),3)</f>
        <v>9.722999999999999</v>
      </c>
      <c r="BA29" s="326">
        <f t="shared" ca="1" si="36"/>
        <v>5</v>
      </c>
      <c r="BB29" s="331" cm="1">
        <f t="array" aca="1" ref="BB29" ca="1">ROUNDUP(SUMPRODUCT(--($D$7:$AY$7=BB$7),$D$3:$AY$3,$D29:$AY29),3)</f>
        <v>10.527999999999999</v>
      </c>
      <c r="BC29" s="333">
        <f t="shared" ca="1" si="37"/>
        <v>6</v>
      </c>
      <c r="BD29" s="451">
        <f t="shared" ca="1" si="38"/>
        <v>-1</v>
      </c>
    </row>
    <row r="30" spans="2:56" s="445" customFormat="1" ht="15" customHeight="1">
      <c r="B30" s="301" t="s">
        <v>86</v>
      </c>
      <c r="C30" s="302" t="s">
        <v>59</v>
      </c>
      <c r="D30" s="381">
        <v>57.56</v>
      </c>
      <c r="E30" s="304">
        <f t="shared" si="10"/>
        <v>11</v>
      </c>
      <c r="F30" s="309">
        <v>61.53</v>
      </c>
      <c r="G30" s="313">
        <f t="shared" si="11"/>
        <v>7</v>
      </c>
      <c r="H30" s="858"/>
      <c r="I30" s="859"/>
      <c r="J30" s="306">
        <v>5</v>
      </c>
      <c r="K30" s="312">
        <f t="shared" si="12"/>
        <v>23</v>
      </c>
      <c r="L30" s="381">
        <v>60.6</v>
      </c>
      <c r="M30" s="304">
        <f t="shared" si="13"/>
        <v>29</v>
      </c>
      <c r="N30" s="309">
        <v>61.2</v>
      </c>
      <c r="O30" s="312">
        <f t="shared" si="14"/>
        <v>28</v>
      </c>
      <c r="P30" s="381">
        <v>0.13100000000000001</v>
      </c>
      <c r="Q30" s="404">
        <f t="shared" si="15"/>
        <v>20</v>
      </c>
      <c r="R30" s="309">
        <v>2.38</v>
      </c>
      <c r="S30" s="313">
        <f t="shared" si="7"/>
        <v>14</v>
      </c>
      <c r="T30" s="381">
        <f t="shared" si="16"/>
        <v>20</v>
      </c>
      <c r="U30" s="404">
        <f t="shared" si="17"/>
        <v>24</v>
      </c>
      <c r="V30" s="309">
        <f t="shared" si="41"/>
        <v>18</v>
      </c>
      <c r="W30" s="313">
        <f t="shared" si="19"/>
        <v>22</v>
      </c>
      <c r="X30" s="381">
        <v>69.13</v>
      </c>
      <c r="Y30" s="404">
        <f t="shared" si="20"/>
        <v>2</v>
      </c>
      <c r="Z30" s="309">
        <v>108.67</v>
      </c>
      <c r="AA30" s="313">
        <f t="shared" si="21"/>
        <v>8</v>
      </c>
      <c r="AB30" s="381">
        <v>26</v>
      </c>
      <c r="AC30" s="304">
        <f t="shared" si="22"/>
        <v>25</v>
      </c>
      <c r="AD30" s="309">
        <v>39.9</v>
      </c>
      <c r="AE30" s="313">
        <f t="shared" si="23"/>
        <v>22</v>
      </c>
      <c r="AF30" s="381">
        <f t="shared" si="24"/>
        <v>13.5</v>
      </c>
      <c r="AG30" s="304">
        <f t="shared" si="25"/>
        <v>12</v>
      </c>
      <c r="AH30" s="309">
        <f t="shared" si="40"/>
        <v>15</v>
      </c>
      <c r="AI30" s="312">
        <f t="shared" si="27"/>
        <v>11</v>
      </c>
      <c r="AJ30" s="381">
        <v>0.5</v>
      </c>
      <c r="AK30" s="304">
        <f t="shared" si="28"/>
        <v>22</v>
      </c>
      <c r="AL30" s="309">
        <v>16.5</v>
      </c>
      <c r="AM30" s="312">
        <f t="shared" si="29"/>
        <v>24</v>
      </c>
      <c r="AN30" s="381">
        <v>13.6</v>
      </c>
      <c r="AO30" s="304">
        <f t="shared" si="30"/>
        <v>23</v>
      </c>
      <c r="AP30" s="309">
        <v>13</v>
      </c>
      <c r="AQ30" s="312">
        <f t="shared" si="31"/>
        <v>25</v>
      </c>
      <c r="AR30" s="382">
        <v>15.4</v>
      </c>
      <c r="AS30" s="304">
        <f t="shared" si="8"/>
        <v>28</v>
      </c>
      <c r="AT30" s="309">
        <v>14.1</v>
      </c>
      <c r="AU30" s="312">
        <f t="shared" si="9"/>
        <v>29</v>
      </c>
      <c r="AV30" s="381">
        <f t="shared" si="32"/>
        <v>24.333333333333332</v>
      </c>
      <c r="AW30" s="304">
        <f t="shared" si="33"/>
        <v>27</v>
      </c>
      <c r="AX30" s="309">
        <f t="shared" si="39"/>
        <v>26</v>
      </c>
      <c r="AY30" s="313">
        <f t="shared" si="35"/>
        <v>28</v>
      </c>
      <c r="AZ30" s="381" cm="1">
        <f t="array" aca="1" ref="AZ30" ca="1">ROUNDUP(SUMPRODUCT(--($D$7:$AY$7=AZ$7),$D$3:$AY$3,$D30:$AY30),3)</f>
        <v>19.278000000000002</v>
      </c>
      <c r="BA30" s="304">
        <f t="shared" ref="BA30:BA42" ca="1" si="42">RANK(AZ30,AZ$13:AZ$42,1)</f>
        <v>25</v>
      </c>
      <c r="BB30" s="309" cm="1">
        <f t="array" aca="1" ref="BB30" ca="1">ROUNDUP(SUMPRODUCT(--($D$7:$AY$7=BB$7),$D$3:$AY$3,$D30:$AY30),3)</f>
        <v>19.667000000000002</v>
      </c>
      <c r="BC30" s="313">
        <f t="shared" ref="BC30:BC42" ca="1" si="43">RANK(BB30,BB$13:BB$42,1)</f>
        <v>27</v>
      </c>
      <c r="BD30" s="451">
        <f t="shared" ca="1" si="38"/>
        <v>-2</v>
      </c>
    </row>
    <row r="31" spans="2:56" s="445" customFormat="1" ht="15" customHeight="1">
      <c r="B31" s="315" t="s">
        <v>86</v>
      </c>
      <c r="C31" s="316" t="s">
        <v>346</v>
      </c>
      <c r="D31" s="384">
        <v>42.92</v>
      </c>
      <c r="E31" s="305">
        <f t="shared" si="10"/>
        <v>16</v>
      </c>
      <c r="F31" s="319">
        <v>53.97</v>
      </c>
      <c r="G31" s="321">
        <f t="shared" si="11"/>
        <v>10</v>
      </c>
      <c r="H31" s="858"/>
      <c r="I31" s="859"/>
      <c r="J31" s="318">
        <v>2</v>
      </c>
      <c r="K31" s="307">
        <f t="shared" si="12"/>
        <v>29</v>
      </c>
      <c r="L31" s="384">
        <v>60.8</v>
      </c>
      <c r="M31" s="305">
        <f t="shared" si="13"/>
        <v>28</v>
      </c>
      <c r="N31" s="319">
        <v>60</v>
      </c>
      <c r="O31" s="307">
        <f t="shared" si="14"/>
        <v>29</v>
      </c>
      <c r="P31" s="384">
        <v>7.0000000000000007E-2</v>
      </c>
      <c r="Q31" s="410">
        <f t="shared" si="15"/>
        <v>14</v>
      </c>
      <c r="R31" s="319">
        <v>-0.06</v>
      </c>
      <c r="S31" s="321">
        <f t="shared" si="7"/>
        <v>29</v>
      </c>
      <c r="T31" s="384">
        <f t="shared" si="16"/>
        <v>19.333333333333332</v>
      </c>
      <c r="U31" s="410">
        <f t="shared" si="17"/>
        <v>22</v>
      </c>
      <c r="V31" s="319">
        <f t="shared" si="41"/>
        <v>24.25</v>
      </c>
      <c r="W31" s="321">
        <f t="shared" si="19"/>
        <v>30</v>
      </c>
      <c r="X31" s="384">
        <v>128.68</v>
      </c>
      <c r="Y31" s="410">
        <f t="shared" si="20"/>
        <v>15</v>
      </c>
      <c r="Z31" s="319">
        <v>190</v>
      </c>
      <c r="AA31" s="321">
        <f t="shared" si="21"/>
        <v>20</v>
      </c>
      <c r="AB31" s="384">
        <v>21.65</v>
      </c>
      <c r="AC31" s="305">
        <f t="shared" si="22"/>
        <v>29</v>
      </c>
      <c r="AD31" s="319">
        <v>27</v>
      </c>
      <c r="AE31" s="321">
        <f t="shared" si="23"/>
        <v>29</v>
      </c>
      <c r="AF31" s="384">
        <f t="shared" si="24"/>
        <v>22</v>
      </c>
      <c r="AG31" s="305">
        <f t="shared" si="25"/>
        <v>26</v>
      </c>
      <c r="AH31" s="319">
        <f t="shared" si="40"/>
        <v>24.5</v>
      </c>
      <c r="AI31" s="307">
        <f t="shared" si="27"/>
        <v>30</v>
      </c>
      <c r="AJ31" s="384">
        <v>0.05</v>
      </c>
      <c r="AK31" s="305">
        <f t="shared" si="28"/>
        <v>29</v>
      </c>
      <c r="AL31" s="319">
        <v>0</v>
      </c>
      <c r="AM31" s="307">
        <f t="shared" si="29"/>
        <v>30</v>
      </c>
      <c r="AN31" s="384">
        <v>1.85</v>
      </c>
      <c r="AO31" s="305">
        <f t="shared" si="30"/>
        <v>30</v>
      </c>
      <c r="AP31" s="319">
        <v>6.1</v>
      </c>
      <c r="AQ31" s="307">
        <f t="shared" si="31"/>
        <v>30</v>
      </c>
      <c r="AR31" s="385">
        <v>9.8000000000000007</v>
      </c>
      <c r="AS31" s="305">
        <f t="shared" si="8"/>
        <v>30</v>
      </c>
      <c r="AT31" s="319">
        <v>17.600000000000001</v>
      </c>
      <c r="AU31" s="307">
        <f t="shared" si="9"/>
        <v>24</v>
      </c>
      <c r="AV31" s="384">
        <f t="shared" si="32"/>
        <v>29.666666666666668</v>
      </c>
      <c r="AW31" s="305">
        <f t="shared" si="33"/>
        <v>30</v>
      </c>
      <c r="AX31" s="319">
        <f t="shared" si="39"/>
        <v>28</v>
      </c>
      <c r="AY31" s="321">
        <f t="shared" si="35"/>
        <v>29</v>
      </c>
      <c r="AZ31" s="384" cm="1">
        <f t="array" aca="1" ref="AZ31" ca="1">ROUNDUP(SUMPRODUCT(--($D$7:$AY$7=AZ$7),$D$3:$AY$3,$D31:$AY31),3)</f>
        <v>23.667000000000002</v>
      </c>
      <c r="BA31" s="305">
        <f t="shared" ca="1" si="42"/>
        <v>30</v>
      </c>
      <c r="BB31" s="319" cm="1">
        <f t="array" aca="1" ref="BB31" ca="1">ROUNDUP(SUMPRODUCT(--($D$7:$AY$7=BB$7),$D$3:$AY$3,$D31:$AY31),3)</f>
        <v>25.584</v>
      </c>
      <c r="BC31" s="321">
        <f t="shared" ca="1" si="43"/>
        <v>30</v>
      </c>
      <c r="BD31" s="451">
        <f t="shared" ca="1" si="38"/>
        <v>0</v>
      </c>
    </row>
    <row r="32" spans="2:56" s="445" customFormat="1" ht="15" customHeight="1">
      <c r="B32" s="315" t="s">
        <v>86</v>
      </c>
      <c r="C32" s="316" t="s">
        <v>11</v>
      </c>
      <c r="D32" s="384">
        <v>56.2</v>
      </c>
      <c r="E32" s="305">
        <f t="shared" si="10"/>
        <v>12</v>
      </c>
      <c r="F32" s="319">
        <v>68.98</v>
      </c>
      <c r="G32" s="321">
        <f t="shared" si="11"/>
        <v>5</v>
      </c>
      <c r="H32" s="858"/>
      <c r="I32" s="859"/>
      <c r="J32" s="318">
        <v>8</v>
      </c>
      <c r="K32" s="307">
        <f t="shared" si="12"/>
        <v>19</v>
      </c>
      <c r="L32" s="384">
        <v>60</v>
      </c>
      <c r="M32" s="305">
        <f t="shared" si="13"/>
        <v>30</v>
      </c>
      <c r="N32" s="319">
        <v>65</v>
      </c>
      <c r="O32" s="307">
        <f t="shared" si="14"/>
        <v>26</v>
      </c>
      <c r="P32" s="384">
        <v>8.1000000000000003E-2</v>
      </c>
      <c r="Q32" s="410">
        <f t="shared" si="15"/>
        <v>16</v>
      </c>
      <c r="R32" s="319">
        <v>4.59</v>
      </c>
      <c r="S32" s="321">
        <f t="shared" si="7"/>
        <v>4</v>
      </c>
      <c r="T32" s="384">
        <f t="shared" si="16"/>
        <v>19.333333333333332</v>
      </c>
      <c r="U32" s="410">
        <f t="shared" si="17"/>
        <v>22</v>
      </c>
      <c r="V32" s="319">
        <f t="shared" si="41"/>
        <v>13.5</v>
      </c>
      <c r="W32" s="321">
        <f t="shared" si="19"/>
        <v>15</v>
      </c>
      <c r="X32" s="384">
        <v>138.41</v>
      </c>
      <c r="Y32" s="410">
        <f t="shared" si="20"/>
        <v>18</v>
      </c>
      <c r="Z32" s="319">
        <v>170.88</v>
      </c>
      <c r="AA32" s="321">
        <f t="shared" si="21"/>
        <v>18</v>
      </c>
      <c r="AB32" s="384">
        <v>26</v>
      </c>
      <c r="AC32" s="305">
        <f t="shared" si="22"/>
        <v>25</v>
      </c>
      <c r="AD32" s="319">
        <v>43.5</v>
      </c>
      <c r="AE32" s="321">
        <f t="shared" si="23"/>
        <v>20</v>
      </c>
      <c r="AF32" s="384">
        <f t="shared" si="24"/>
        <v>21.5</v>
      </c>
      <c r="AG32" s="305">
        <f t="shared" si="25"/>
        <v>25</v>
      </c>
      <c r="AH32" s="319">
        <f t="shared" si="40"/>
        <v>19</v>
      </c>
      <c r="AI32" s="307">
        <f t="shared" si="27"/>
        <v>26</v>
      </c>
      <c r="AJ32" s="384">
        <v>1.2</v>
      </c>
      <c r="AK32" s="305">
        <f t="shared" si="28"/>
        <v>16</v>
      </c>
      <c r="AL32" s="319">
        <v>30.8</v>
      </c>
      <c r="AM32" s="307">
        <f t="shared" si="29"/>
        <v>15</v>
      </c>
      <c r="AN32" s="384">
        <v>20</v>
      </c>
      <c r="AO32" s="305">
        <f t="shared" si="30"/>
        <v>20</v>
      </c>
      <c r="AP32" s="319">
        <v>21.2</v>
      </c>
      <c r="AQ32" s="307">
        <f t="shared" si="31"/>
        <v>21</v>
      </c>
      <c r="AR32" s="385">
        <v>18.5</v>
      </c>
      <c r="AS32" s="305">
        <f t="shared" si="8"/>
        <v>24</v>
      </c>
      <c r="AT32" s="319">
        <v>17.5</v>
      </c>
      <c r="AU32" s="307">
        <f t="shared" si="9"/>
        <v>25</v>
      </c>
      <c r="AV32" s="384">
        <f t="shared" si="32"/>
        <v>20</v>
      </c>
      <c r="AW32" s="305">
        <f t="shared" si="33"/>
        <v>19</v>
      </c>
      <c r="AX32" s="319">
        <f t="shared" si="39"/>
        <v>20.333333333333332</v>
      </c>
      <c r="AY32" s="321">
        <f t="shared" si="35"/>
        <v>23</v>
      </c>
      <c r="AZ32" s="384" cm="1">
        <f t="array" aca="1" ref="AZ32" ca="1">ROUNDUP(SUMPRODUCT(--($D$7:$AY$7=AZ$7),$D$3:$AY$3,$D32:$AY32),3)</f>
        <v>20.278000000000002</v>
      </c>
      <c r="BA32" s="305">
        <f t="shared" ca="1" si="42"/>
        <v>27</v>
      </c>
      <c r="BB32" s="319" cm="1">
        <f t="array" aca="1" ref="BB32" ca="1">ROUNDUP(SUMPRODUCT(--($D$7:$AY$7=BB$7),$D$3:$AY$3,$D32:$AY32),3)</f>
        <v>17.612000000000002</v>
      </c>
      <c r="BC32" s="321">
        <f t="shared" ca="1" si="43"/>
        <v>22</v>
      </c>
      <c r="BD32" s="451">
        <f t="shared" ca="1" si="38"/>
        <v>5</v>
      </c>
    </row>
    <row r="33" spans="2:56" s="445" customFormat="1" ht="15" customHeight="1">
      <c r="B33" s="323" t="s">
        <v>86</v>
      </c>
      <c r="C33" s="324" t="s">
        <v>39</v>
      </c>
      <c r="D33" s="387">
        <v>69.33</v>
      </c>
      <c r="E33" s="326">
        <f t="shared" si="10"/>
        <v>8</v>
      </c>
      <c r="F33" s="331">
        <v>60.34</v>
      </c>
      <c r="G33" s="333">
        <f t="shared" si="11"/>
        <v>8</v>
      </c>
      <c r="H33" s="858"/>
      <c r="I33" s="859"/>
      <c r="J33" s="327">
        <v>11</v>
      </c>
      <c r="K33" s="328">
        <f t="shared" si="12"/>
        <v>16</v>
      </c>
      <c r="L33" s="387">
        <v>78</v>
      </c>
      <c r="M33" s="326">
        <f t="shared" si="13"/>
        <v>15</v>
      </c>
      <c r="N33" s="331">
        <v>78</v>
      </c>
      <c r="O33" s="328">
        <f t="shared" si="14"/>
        <v>15</v>
      </c>
      <c r="P33" s="387">
        <v>5.7000000000000002E-2</v>
      </c>
      <c r="Q33" s="416">
        <f t="shared" si="15"/>
        <v>10</v>
      </c>
      <c r="R33" s="331">
        <v>6.57</v>
      </c>
      <c r="S33" s="333">
        <f t="shared" si="7"/>
        <v>2</v>
      </c>
      <c r="T33" s="387">
        <f t="shared" si="16"/>
        <v>11</v>
      </c>
      <c r="U33" s="416">
        <f t="shared" si="17"/>
        <v>11</v>
      </c>
      <c r="V33" s="331">
        <f t="shared" si="41"/>
        <v>10.25</v>
      </c>
      <c r="W33" s="333">
        <f t="shared" si="19"/>
        <v>7</v>
      </c>
      <c r="X33" s="387">
        <v>182.33</v>
      </c>
      <c r="Y33" s="416">
        <f t="shared" si="20"/>
        <v>26</v>
      </c>
      <c r="Z33" s="331">
        <v>139.82</v>
      </c>
      <c r="AA33" s="333">
        <f t="shared" si="21"/>
        <v>14</v>
      </c>
      <c r="AB33" s="387">
        <v>36.4</v>
      </c>
      <c r="AC33" s="326">
        <f t="shared" si="22"/>
        <v>19</v>
      </c>
      <c r="AD33" s="331">
        <v>46.4</v>
      </c>
      <c r="AE33" s="333">
        <f t="shared" si="23"/>
        <v>19</v>
      </c>
      <c r="AF33" s="387">
        <f t="shared" si="24"/>
        <v>22.5</v>
      </c>
      <c r="AG33" s="326">
        <f t="shared" si="25"/>
        <v>28</v>
      </c>
      <c r="AH33" s="331">
        <f t="shared" si="40"/>
        <v>16.5</v>
      </c>
      <c r="AI33" s="328">
        <f t="shared" si="27"/>
        <v>16</v>
      </c>
      <c r="AJ33" s="387">
        <v>0.3</v>
      </c>
      <c r="AK33" s="326">
        <f t="shared" si="28"/>
        <v>25</v>
      </c>
      <c r="AL33" s="331">
        <v>13.6</v>
      </c>
      <c r="AM33" s="328">
        <f t="shared" si="29"/>
        <v>25</v>
      </c>
      <c r="AN33" s="387">
        <v>15.3</v>
      </c>
      <c r="AO33" s="326">
        <f t="shared" si="30"/>
        <v>22</v>
      </c>
      <c r="AP33" s="331">
        <v>16.600000000000001</v>
      </c>
      <c r="AQ33" s="328">
        <f t="shared" si="31"/>
        <v>22</v>
      </c>
      <c r="AR33" s="388">
        <v>20.6</v>
      </c>
      <c r="AS33" s="326">
        <f t="shared" si="8"/>
        <v>17</v>
      </c>
      <c r="AT33" s="331">
        <v>21.4</v>
      </c>
      <c r="AU33" s="328">
        <f t="shared" si="9"/>
        <v>17</v>
      </c>
      <c r="AV33" s="387">
        <f t="shared" si="32"/>
        <v>21.333333333333332</v>
      </c>
      <c r="AW33" s="326">
        <f t="shared" si="33"/>
        <v>24</v>
      </c>
      <c r="AX33" s="331">
        <f t="shared" si="39"/>
        <v>21.333333333333332</v>
      </c>
      <c r="AY33" s="333">
        <f t="shared" si="35"/>
        <v>24</v>
      </c>
      <c r="AZ33" s="387" cm="1">
        <f t="array" aca="1" ref="AZ33" ca="1">ROUNDUP(SUMPRODUCT(--($D$7:$AY$7=AZ$7),$D$3:$AY$3,$D33:$AY33),3)</f>
        <v>18.278000000000002</v>
      </c>
      <c r="BA33" s="326">
        <f t="shared" ca="1" si="42"/>
        <v>23</v>
      </c>
      <c r="BB33" s="331" cm="1">
        <f t="array" aca="1" ref="BB33" ca="1">ROUNDUP(SUMPRODUCT(--($D$7:$AY$7=BB$7),$D$3:$AY$3,$D33:$AY33),3)</f>
        <v>16.028000000000002</v>
      </c>
      <c r="BC33" s="333">
        <f t="shared" ca="1" si="43"/>
        <v>18</v>
      </c>
      <c r="BD33" s="451">
        <f t="shared" ca="1" si="38"/>
        <v>5</v>
      </c>
    </row>
    <row r="34" spans="2:56" s="445" customFormat="1" ht="15" customHeight="1">
      <c r="B34" s="314" t="s">
        <v>89</v>
      </c>
      <c r="C34" s="343" t="s">
        <v>6</v>
      </c>
      <c r="D34" s="381">
        <v>34.92</v>
      </c>
      <c r="E34" s="304">
        <f t="shared" si="10"/>
        <v>18</v>
      </c>
      <c r="F34" s="309">
        <v>44.86</v>
      </c>
      <c r="G34" s="313">
        <f t="shared" si="11"/>
        <v>12</v>
      </c>
      <c r="H34" s="858"/>
      <c r="I34" s="859"/>
      <c r="J34" s="306">
        <v>16</v>
      </c>
      <c r="K34" s="312">
        <f t="shared" si="12"/>
        <v>6</v>
      </c>
      <c r="L34" s="381">
        <v>73.2</v>
      </c>
      <c r="M34" s="304">
        <f t="shared" si="13"/>
        <v>21</v>
      </c>
      <c r="N34" s="309">
        <v>73.599999999999994</v>
      </c>
      <c r="O34" s="312">
        <f t="shared" si="14"/>
        <v>21</v>
      </c>
      <c r="P34" s="381">
        <v>0.214</v>
      </c>
      <c r="Q34" s="404">
        <f t="shared" si="15"/>
        <v>26</v>
      </c>
      <c r="R34" s="309">
        <v>1.05</v>
      </c>
      <c r="S34" s="313">
        <f t="shared" si="7"/>
        <v>25</v>
      </c>
      <c r="T34" s="381">
        <f t="shared" si="16"/>
        <v>21.666666666666668</v>
      </c>
      <c r="U34" s="404">
        <f t="shared" si="17"/>
        <v>27</v>
      </c>
      <c r="V34" s="309">
        <f t="shared" si="41"/>
        <v>16</v>
      </c>
      <c r="W34" s="313">
        <f t="shared" si="19"/>
        <v>19</v>
      </c>
      <c r="X34" s="381">
        <v>83.24</v>
      </c>
      <c r="Y34" s="404">
        <f t="shared" si="20"/>
        <v>5</v>
      </c>
      <c r="Z34" s="309">
        <v>95.35</v>
      </c>
      <c r="AA34" s="313">
        <f t="shared" si="21"/>
        <v>5</v>
      </c>
      <c r="AB34" s="381">
        <v>56</v>
      </c>
      <c r="AC34" s="304">
        <f t="shared" si="22"/>
        <v>7</v>
      </c>
      <c r="AD34" s="309">
        <v>56.4</v>
      </c>
      <c r="AE34" s="313">
        <f t="shared" si="23"/>
        <v>12</v>
      </c>
      <c r="AF34" s="381">
        <f t="shared" si="24"/>
        <v>6</v>
      </c>
      <c r="AG34" s="304">
        <f t="shared" si="25"/>
        <v>2</v>
      </c>
      <c r="AH34" s="309">
        <f t="shared" si="40"/>
        <v>8.5</v>
      </c>
      <c r="AI34" s="312">
        <f t="shared" si="27"/>
        <v>4</v>
      </c>
      <c r="AJ34" s="381">
        <v>2.4</v>
      </c>
      <c r="AK34" s="304">
        <f t="shared" si="28"/>
        <v>7</v>
      </c>
      <c r="AL34" s="309">
        <v>60.3</v>
      </c>
      <c r="AM34" s="312">
        <f t="shared" si="29"/>
        <v>9</v>
      </c>
      <c r="AN34" s="381">
        <v>69.5</v>
      </c>
      <c r="AO34" s="304">
        <f t="shared" si="30"/>
        <v>3</v>
      </c>
      <c r="AP34" s="309">
        <v>71.900000000000006</v>
      </c>
      <c r="AQ34" s="312">
        <f t="shared" si="31"/>
        <v>2</v>
      </c>
      <c r="AR34" s="382">
        <v>24.65</v>
      </c>
      <c r="AS34" s="304">
        <f t="shared" si="8"/>
        <v>12</v>
      </c>
      <c r="AT34" s="309">
        <v>41</v>
      </c>
      <c r="AU34" s="312">
        <f t="shared" si="9"/>
        <v>1</v>
      </c>
      <c r="AV34" s="381">
        <f t="shared" si="32"/>
        <v>7.333333333333333</v>
      </c>
      <c r="AW34" s="304">
        <f t="shared" si="33"/>
        <v>5</v>
      </c>
      <c r="AX34" s="309">
        <f t="shared" si="39"/>
        <v>4</v>
      </c>
      <c r="AY34" s="313">
        <f t="shared" si="35"/>
        <v>2</v>
      </c>
      <c r="AZ34" s="381" cm="1">
        <f t="array" aca="1" ref="AZ34" ca="1">ROUNDUP(SUMPRODUCT(--($D$7:$AY$7=AZ$7),$D$3:$AY$3,$D34:$AY34),3)</f>
        <v>11.667</v>
      </c>
      <c r="BA34" s="304">
        <f t="shared" ca="1" si="42"/>
        <v>9</v>
      </c>
      <c r="BB34" s="309" cm="1">
        <f t="array" aca="1" ref="BB34" ca="1">ROUNDUP(SUMPRODUCT(--($D$7:$AY$7=BB$7),$D$3:$AY$3,$D34:$AY34),3)</f>
        <v>9.5</v>
      </c>
      <c r="BC34" s="313">
        <f t="shared" ca="1" si="43"/>
        <v>5</v>
      </c>
      <c r="BD34" s="451">
        <f t="shared" ca="1" si="38"/>
        <v>4</v>
      </c>
    </row>
    <row r="35" spans="2:56" s="445" customFormat="1" ht="15" customHeight="1">
      <c r="B35" s="322" t="s">
        <v>89</v>
      </c>
      <c r="C35" s="344" t="s">
        <v>8</v>
      </c>
      <c r="D35" s="384">
        <v>0</v>
      </c>
      <c r="E35" s="305">
        <f t="shared" si="10"/>
        <v>20</v>
      </c>
      <c r="F35" s="319">
        <v>0</v>
      </c>
      <c r="G35" s="321">
        <f t="shared" si="11"/>
        <v>14</v>
      </c>
      <c r="H35" s="858"/>
      <c r="I35" s="859"/>
      <c r="J35" s="318">
        <v>17</v>
      </c>
      <c r="K35" s="307">
        <f t="shared" si="12"/>
        <v>4</v>
      </c>
      <c r="L35" s="384">
        <v>75.400000000000006</v>
      </c>
      <c r="M35" s="305">
        <f t="shared" si="13"/>
        <v>18</v>
      </c>
      <c r="N35" s="319">
        <v>75.2</v>
      </c>
      <c r="O35" s="307">
        <f t="shared" si="14"/>
        <v>19</v>
      </c>
      <c r="P35" s="384">
        <v>5.1999999999999998E-2</v>
      </c>
      <c r="Q35" s="410">
        <f t="shared" si="15"/>
        <v>8</v>
      </c>
      <c r="R35" s="319">
        <v>0.77</v>
      </c>
      <c r="S35" s="321">
        <f t="shared" si="7"/>
        <v>26</v>
      </c>
      <c r="T35" s="384">
        <f t="shared" si="16"/>
        <v>15.333333333333334</v>
      </c>
      <c r="U35" s="410">
        <f t="shared" si="17"/>
        <v>17</v>
      </c>
      <c r="V35" s="319">
        <f t="shared" si="41"/>
        <v>15.75</v>
      </c>
      <c r="W35" s="321">
        <f t="shared" si="19"/>
        <v>18</v>
      </c>
      <c r="X35" s="384">
        <v>176.65</v>
      </c>
      <c r="Y35" s="410">
        <f t="shared" si="20"/>
        <v>25</v>
      </c>
      <c r="Z35" s="319">
        <v>231.7</v>
      </c>
      <c r="AA35" s="321">
        <f t="shared" si="21"/>
        <v>25</v>
      </c>
      <c r="AB35" s="384">
        <v>55.9</v>
      </c>
      <c r="AC35" s="305">
        <f t="shared" si="22"/>
        <v>8</v>
      </c>
      <c r="AD35" s="319">
        <v>60.3</v>
      </c>
      <c r="AE35" s="321">
        <f t="shared" si="23"/>
        <v>6</v>
      </c>
      <c r="AF35" s="384">
        <f t="shared" si="24"/>
        <v>16.5</v>
      </c>
      <c r="AG35" s="305">
        <f t="shared" si="25"/>
        <v>15</v>
      </c>
      <c r="AH35" s="319">
        <f t="shared" si="40"/>
        <v>15.5</v>
      </c>
      <c r="AI35" s="307">
        <f t="shared" si="27"/>
        <v>13</v>
      </c>
      <c r="AJ35" s="384">
        <v>3.3</v>
      </c>
      <c r="AK35" s="305">
        <f t="shared" si="28"/>
        <v>4</v>
      </c>
      <c r="AL35" s="319">
        <v>71.5</v>
      </c>
      <c r="AM35" s="307">
        <f t="shared" si="29"/>
        <v>4</v>
      </c>
      <c r="AN35" s="384">
        <v>62.1</v>
      </c>
      <c r="AO35" s="305">
        <f t="shared" si="30"/>
        <v>7</v>
      </c>
      <c r="AP35" s="319">
        <v>59.1</v>
      </c>
      <c r="AQ35" s="307">
        <f t="shared" si="31"/>
        <v>8</v>
      </c>
      <c r="AR35" s="385">
        <v>19.7</v>
      </c>
      <c r="AS35" s="305">
        <f t="shared" si="8"/>
        <v>19</v>
      </c>
      <c r="AT35" s="319">
        <v>19.5</v>
      </c>
      <c r="AU35" s="307">
        <f t="shared" si="9"/>
        <v>21</v>
      </c>
      <c r="AV35" s="384">
        <f t="shared" si="32"/>
        <v>10</v>
      </c>
      <c r="AW35" s="305">
        <f t="shared" si="33"/>
        <v>9</v>
      </c>
      <c r="AX35" s="319">
        <f t="shared" si="39"/>
        <v>11</v>
      </c>
      <c r="AY35" s="321">
        <f t="shared" si="35"/>
        <v>9</v>
      </c>
      <c r="AZ35" s="384" cm="1">
        <f t="array" aca="1" ref="AZ35" ca="1">ROUNDUP(SUMPRODUCT(--($D$7:$AY$7=AZ$7),$D$3:$AY$3,$D35:$AY35),3)</f>
        <v>13.945</v>
      </c>
      <c r="BA35" s="305">
        <f t="shared" ca="1" si="42"/>
        <v>12</v>
      </c>
      <c r="BB35" s="319" cm="1">
        <f t="array" aca="1" ref="BB35" ca="1">ROUNDUP(SUMPRODUCT(--($D$7:$AY$7=BB$7),$D$3:$AY$3,$D35:$AY35),3)</f>
        <v>14.084</v>
      </c>
      <c r="BC35" s="321">
        <f t="shared" ca="1" si="43"/>
        <v>13</v>
      </c>
      <c r="BD35" s="451">
        <f t="shared" ca="1" si="38"/>
        <v>-1</v>
      </c>
    </row>
    <row r="36" spans="2:56" s="445" customFormat="1" ht="15" customHeight="1">
      <c r="B36" s="334" t="s">
        <v>89</v>
      </c>
      <c r="C36" s="345" t="s">
        <v>14</v>
      </c>
      <c r="D36" s="387">
        <v>0</v>
      </c>
      <c r="E36" s="326">
        <f t="shared" si="10"/>
        <v>20</v>
      </c>
      <c r="F36" s="331">
        <v>0</v>
      </c>
      <c r="G36" s="333">
        <f t="shared" si="11"/>
        <v>14</v>
      </c>
      <c r="H36" s="858"/>
      <c r="I36" s="859"/>
      <c r="J36" s="327">
        <v>14</v>
      </c>
      <c r="K36" s="328">
        <f t="shared" si="12"/>
        <v>11</v>
      </c>
      <c r="L36" s="387">
        <v>73</v>
      </c>
      <c r="M36" s="326">
        <f t="shared" si="13"/>
        <v>22</v>
      </c>
      <c r="N36" s="331">
        <v>72.2</v>
      </c>
      <c r="O36" s="328">
        <f t="shared" si="14"/>
        <v>23</v>
      </c>
      <c r="P36" s="387">
        <v>0.13500000000000001</v>
      </c>
      <c r="Q36" s="416">
        <f t="shared" si="15"/>
        <v>21</v>
      </c>
      <c r="R36" s="331">
        <v>1.08</v>
      </c>
      <c r="S36" s="333">
        <f t="shared" si="7"/>
        <v>24</v>
      </c>
      <c r="T36" s="387">
        <f t="shared" si="16"/>
        <v>21</v>
      </c>
      <c r="U36" s="416">
        <f t="shared" si="17"/>
        <v>25</v>
      </c>
      <c r="V36" s="331">
        <f t="shared" si="41"/>
        <v>18</v>
      </c>
      <c r="W36" s="333">
        <f t="shared" si="19"/>
        <v>22</v>
      </c>
      <c r="X36" s="387">
        <v>97.97</v>
      </c>
      <c r="Y36" s="416">
        <f t="shared" si="20"/>
        <v>11</v>
      </c>
      <c r="Z36" s="331">
        <v>107.66</v>
      </c>
      <c r="AA36" s="333">
        <f t="shared" si="21"/>
        <v>7</v>
      </c>
      <c r="AB36" s="387">
        <v>58.7</v>
      </c>
      <c r="AC36" s="326">
        <f t="shared" si="22"/>
        <v>5</v>
      </c>
      <c r="AD36" s="331">
        <v>60.6</v>
      </c>
      <c r="AE36" s="333">
        <f t="shared" si="23"/>
        <v>5</v>
      </c>
      <c r="AF36" s="387">
        <f t="shared" si="24"/>
        <v>8</v>
      </c>
      <c r="AG36" s="326">
        <f t="shared" si="25"/>
        <v>5</v>
      </c>
      <c r="AH36" s="331">
        <f t="shared" si="40"/>
        <v>6</v>
      </c>
      <c r="AI36" s="328">
        <f t="shared" si="27"/>
        <v>1</v>
      </c>
      <c r="AJ36" s="387">
        <v>4.8</v>
      </c>
      <c r="AK36" s="326">
        <f t="shared" si="28"/>
        <v>1</v>
      </c>
      <c r="AL36" s="331">
        <v>87.3</v>
      </c>
      <c r="AM36" s="328">
        <f t="shared" si="29"/>
        <v>1</v>
      </c>
      <c r="AN36" s="387">
        <v>67</v>
      </c>
      <c r="AO36" s="326">
        <f t="shared" si="30"/>
        <v>6</v>
      </c>
      <c r="AP36" s="331">
        <v>66.099999999999994</v>
      </c>
      <c r="AQ36" s="328">
        <f t="shared" si="31"/>
        <v>3</v>
      </c>
      <c r="AR36" s="388">
        <v>29.6</v>
      </c>
      <c r="AS36" s="326">
        <f t="shared" si="8"/>
        <v>3</v>
      </c>
      <c r="AT36" s="331">
        <v>30.2</v>
      </c>
      <c r="AU36" s="328">
        <f t="shared" si="9"/>
        <v>4</v>
      </c>
      <c r="AV36" s="387">
        <f t="shared" si="32"/>
        <v>3.3333333333333335</v>
      </c>
      <c r="AW36" s="326">
        <f t="shared" si="33"/>
        <v>2</v>
      </c>
      <c r="AX36" s="331">
        <f t="shared" si="39"/>
        <v>2.6666666666666665</v>
      </c>
      <c r="AY36" s="333">
        <f t="shared" si="35"/>
        <v>1</v>
      </c>
      <c r="AZ36" s="387" cm="1">
        <f t="array" aca="1" ref="AZ36" ca="1">ROUNDUP(SUMPRODUCT(--($D$7:$AY$7=AZ$7),$D$3:$AY$3,$D36:$AY36),3)</f>
        <v>10.777999999999999</v>
      </c>
      <c r="BA36" s="326">
        <f t="shared" ca="1" si="42"/>
        <v>6</v>
      </c>
      <c r="BB36" s="331" cm="1">
        <f t="array" aca="1" ref="BB36" ca="1">ROUNDUP(SUMPRODUCT(--($D$7:$AY$7=BB$7),$D$3:$AY$3,$D36:$AY36),3)</f>
        <v>8.8889999999999993</v>
      </c>
      <c r="BC36" s="333">
        <f t="shared" ca="1" si="43"/>
        <v>4</v>
      </c>
      <c r="BD36" s="451">
        <f t="shared" ca="1" si="38"/>
        <v>2</v>
      </c>
    </row>
    <row r="37" spans="2:56" s="445" customFormat="1" ht="15" customHeight="1">
      <c r="B37" s="314" t="s">
        <v>90</v>
      </c>
      <c r="C37" s="343" t="s">
        <v>9</v>
      </c>
      <c r="D37" s="381">
        <v>76.400000000000006</v>
      </c>
      <c r="E37" s="304">
        <f t="shared" si="10"/>
        <v>4</v>
      </c>
      <c r="F37" s="309">
        <v>73.75</v>
      </c>
      <c r="G37" s="313">
        <f t="shared" si="11"/>
        <v>3</v>
      </c>
      <c r="H37" s="858"/>
      <c r="I37" s="859"/>
      <c r="J37" s="306">
        <v>11</v>
      </c>
      <c r="K37" s="312">
        <f t="shared" si="12"/>
        <v>16</v>
      </c>
      <c r="L37" s="381">
        <v>90</v>
      </c>
      <c r="M37" s="304">
        <f t="shared" si="13"/>
        <v>1</v>
      </c>
      <c r="N37" s="309">
        <v>89.8</v>
      </c>
      <c r="O37" s="312">
        <f t="shared" si="14"/>
        <v>1</v>
      </c>
      <c r="P37" s="384">
        <v>0.14899999999999999</v>
      </c>
      <c r="Q37" s="410">
        <f t="shared" si="15"/>
        <v>22</v>
      </c>
      <c r="R37" s="319">
        <v>3.43</v>
      </c>
      <c r="S37" s="321">
        <f t="shared" si="7"/>
        <v>7</v>
      </c>
      <c r="T37" s="384">
        <f t="shared" si="16"/>
        <v>9</v>
      </c>
      <c r="U37" s="410">
        <f t="shared" si="17"/>
        <v>5</v>
      </c>
      <c r="V37" s="319">
        <f t="shared" si="41"/>
        <v>6.75</v>
      </c>
      <c r="W37" s="321">
        <f t="shared" si="19"/>
        <v>2</v>
      </c>
      <c r="X37" s="384">
        <v>255.16</v>
      </c>
      <c r="Y37" s="410">
        <f t="shared" si="20"/>
        <v>29</v>
      </c>
      <c r="Z37" s="319">
        <v>492.42</v>
      </c>
      <c r="AA37" s="321">
        <f t="shared" si="21"/>
        <v>30</v>
      </c>
      <c r="AB37" s="381">
        <v>53.7</v>
      </c>
      <c r="AC37" s="304">
        <f t="shared" si="22"/>
        <v>10</v>
      </c>
      <c r="AD37" s="309">
        <v>58.8</v>
      </c>
      <c r="AE37" s="313">
        <f t="shared" si="23"/>
        <v>7</v>
      </c>
      <c r="AF37" s="381">
        <f t="shared" si="24"/>
        <v>19.5</v>
      </c>
      <c r="AG37" s="304">
        <f t="shared" si="25"/>
        <v>20</v>
      </c>
      <c r="AH37" s="319">
        <f t="shared" si="40"/>
        <v>18.5</v>
      </c>
      <c r="AI37" s="307">
        <f t="shared" si="27"/>
        <v>24</v>
      </c>
      <c r="AJ37" s="381">
        <v>1.8</v>
      </c>
      <c r="AK37" s="304">
        <f t="shared" si="28"/>
        <v>11</v>
      </c>
      <c r="AL37" s="319">
        <v>60</v>
      </c>
      <c r="AM37" s="307">
        <f t="shared" si="29"/>
        <v>10</v>
      </c>
      <c r="AN37" s="381">
        <v>40.6</v>
      </c>
      <c r="AO37" s="304">
        <f t="shared" si="30"/>
        <v>12</v>
      </c>
      <c r="AP37" s="319">
        <v>45.8</v>
      </c>
      <c r="AQ37" s="307">
        <f t="shared" si="31"/>
        <v>11</v>
      </c>
      <c r="AR37" s="385">
        <v>18.600000000000001</v>
      </c>
      <c r="AS37" s="305">
        <f t="shared" si="8"/>
        <v>23</v>
      </c>
      <c r="AT37" s="319">
        <v>20.6</v>
      </c>
      <c r="AU37" s="307">
        <f t="shared" si="9"/>
        <v>19</v>
      </c>
      <c r="AV37" s="381">
        <f t="shared" si="32"/>
        <v>15.333333333333334</v>
      </c>
      <c r="AW37" s="304">
        <f t="shared" si="33"/>
        <v>15</v>
      </c>
      <c r="AX37" s="309">
        <f t="shared" si="39"/>
        <v>13.333333333333334</v>
      </c>
      <c r="AY37" s="313">
        <f t="shared" si="35"/>
        <v>14</v>
      </c>
      <c r="AZ37" s="381" cm="1">
        <f t="array" aca="1" ref="AZ37" ca="1">ROUNDUP(SUMPRODUCT(--($D$7:$AY$7=AZ$7),$D$3:$AY$3,$D37:$AY37),3)</f>
        <v>14.612</v>
      </c>
      <c r="BA37" s="304">
        <f t="shared" ca="1" si="42"/>
        <v>13</v>
      </c>
      <c r="BB37" s="309" cm="1">
        <f t="array" aca="1" ref="BB37" ca="1">ROUNDUP(SUMPRODUCT(--($D$7:$AY$7=BB$7),$D$3:$AY$3,$D37:$AY37),3)</f>
        <v>12.862</v>
      </c>
      <c r="BC37" s="313">
        <f t="shared" ca="1" si="43"/>
        <v>10</v>
      </c>
      <c r="BD37" s="451">
        <f t="shared" ca="1" si="38"/>
        <v>3</v>
      </c>
    </row>
    <row r="38" spans="2:56" s="445" customFormat="1" ht="15" customHeight="1">
      <c r="B38" s="322" t="s">
        <v>90</v>
      </c>
      <c r="C38" s="344" t="s">
        <v>7</v>
      </c>
      <c r="D38" s="384">
        <v>0</v>
      </c>
      <c r="E38" s="305">
        <f t="shared" si="10"/>
        <v>20</v>
      </c>
      <c r="F38" s="319">
        <v>0</v>
      </c>
      <c r="G38" s="321">
        <f t="shared" si="11"/>
        <v>14</v>
      </c>
      <c r="H38" s="858"/>
      <c r="I38" s="859"/>
      <c r="J38" s="318">
        <v>15</v>
      </c>
      <c r="K38" s="307">
        <f t="shared" si="12"/>
        <v>8</v>
      </c>
      <c r="L38" s="384">
        <v>71</v>
      </c>
      <c r="M38" s="305">
        <f t="shared" si="13"/>
        <v>25</v>
      </c>
      <c r="N38" s="319">
        <v>59.8</v>
      </c>
      <c r="O38" s="307">
        <f t="shared" si="14"/>
        <v>30</v>
      </c>
      <c r="P38" s="384">
        <v>0.20699999999999999</v>
      </c>
      <c r="Q38" s="410">
        <f t="shared" si="15"/>
        <v>25</v>
      </c>
      <c r="R38" s="319">
        <v>1.42</v>
      </c>
      <c r="S38" s="321">
        <f t="shared" si="7"/>
        <v>21</v>
      </c>
      <c r="T38" s="384">
        <f t="shared" si="16"/>
        <v>23.333333333333332</v>
      </c>
      <c r="U38" s="410">
        <f t="shared" si="17"/>
        <v>28</v>
      </c>
      <c r="V38" s="319">
        <f t="shared" si="41"/>
        <v>18.25</v>
      </c>
      <c r="W38" s="321">
        <f t="shared" si="19"/>
        <v>24</v>
      </c>
      <c r="X38" s="384">
        <v>98.29</v>
      </c>
      <c r="Y38" s="410">
        <f t="shared" si="20"/>
        <v>12</v>
      </c>
      <c r="Z38" s="319">
        <v>110.07</v>
      </c>
      <c r="AA38" s="321">
        <f t="shared" si="21"/>
        <v>9</v>
      </c>
      <c r="AB38" s="384">
        <v>33.9</v>
      </c>
      <c r="AC38" s="305">
        <f t="shared" si="22"/>
        <v>21</v>
      </c>
      <c r="AD38" s="319">
        <v>34.299999999999997</v>
      </c>
      <c r="AE38" s="321">
        <f t="shared" si="23"/>
        <v>26</v>
      </c>
      <c r="AF38" s="384">
        <f t="shared" si="24"/>
        <v>16.5</v>
      </c>
      <c r="AG38" s="305">
        <f t="shared" si="25"/>
        <v>15</v>
      </c>
      <c r="AH38" s="319">
        <f t="shared" si="40"/>
        <v>17.5</v>
      </c>
      <c r="AI38" s="307">
        <f t="shared" si="27"/>
        <v>19</v>
      </c>
      <c r="AJ38" s="384">
        <v>0.7</v>
      </c>
      <c r="AK38" s="305">
        <f t="shared" si="28"/>
        <v>20</v>
      </c>
      <c r="AL38" s="319">
        <v>33.200000000000003</v>
      </c>
      <c r="AM38" s="307">
        <f t="shared" si="29"/>
        <v>14</v>
      </c>
      <c r="AN38" s="384">
        <v>20.3</v>
      </c>
      <c r="AO38" s="305">
        <f t="shared" si="30"/>
        <v>18</v>
      </c>
      <c r="AP38" s="319">
        <v>23.6</v>
      </c>
      <c r="AQ38" s="307">
        <f t="shared" si="31"/>
        <v>17</v>
      </c>
      <c r="AR38" s="385">
        <v>33.700000000000003</v>
      </c>
      <c r="AS38" s="305">
        <f t="shared" si="8"/>
        <v>2</v>
      </c>
      <c r="AT38" s="319">
        <v>34</v>
      </c>
      <c r="AU38" s="307">
        <f t="shared" si="9"/>
        <v>3</v>
      </c>
      <c r="AV38" s="384">
        <f t="shared" si="32"/>
        <v>13.333333333333334</v>
      </c>
      <c r="AW38" s="305">
        <f t="shared" si="33"/>
        <v>14</v>
      </c>
      <c r="AX38" s="319">
        <f t="shared" si="39"/>
        <v>11.333333333333334</v>
      </c>
      <c r="AY38" s="321">
        <f t="shared" si="35"/>
        <v>10</v>
      </c>
      <c r="AZ38" s="384" cm="1">
        <f t="array" aca="1" ref="AZ38" ca="1">ROUNDUP(SUMPRODUCT(--($D$7:$AY$7=AZ$7),$D$3:$AY$3,$D38:$AY38),3)</f>
        <v>17.723000000000003</v>
      </c>
      <c r="BA38" s="305">
        <f t="shared" ca="1" si="42"/>
        <v>21</v>
      </c>
      <c r="BB38" s="319" cm="1">
        <f t="array" aca="1" ref="BB38" ca="1">ROUNDUP(SUMPRODUCT(--($D$7:$AY$7=BB$7),$D$3:$AY$3,$D38:$AY38),3)</f>
        <v>15.695</v>
      </c>
      <c r="BC38" s="321">
        <f t="shared" ca="1" si="43"/>
        <v>15</v>
      </c>
      <c r="BD38" s="451">
        <f t="shared" ca="1" si="38"/>
        <v>6</v>
      </c>
    </row>
    <row r="39" spans="2:56" s="445" customFormat="1" ht="15" customHeight="1">
      <c r="B39" s="322" t="s">
        <v>90</v>
      </c>
      <c r="C39" s="344" t="s">
        <v>10</v>
      </c>
      <c r="D39" s="384">
        <v>57.84</v>
      </c>
      <c r="E39" s="305">
        <f t="shared" si="10"/>
        <v>10</v>
      </c>
      <c r="F39" s="319">
        <v>0</v>
      </c>
      <c r="G39" s="321">
        <f t="shared" si="11"/>
        <v>14</v>
      </c>
      <c r="H39" s="858"/>
      <c r="I39" s="859"/>
      <c r="J39" s="318">
        <v>9</v>
      </c>
      <c r="K39" s="307">
        <f t="shared" si="12"/>
        <v>18</v>
      </c>
      <c r="L39" s="384">
        <v>78.599999999999994</v>
      </c>
      <c r="M39" s="305">
        <f t="shared" si="13"/>
        <v>14</v>
      </c>
      <c r="N39" s="319">
        <v>78.8</v>
      </c>
      <c r="O39" s="307">
        <f>RANK(N39,$N$13:$N$42,0)</f>
        <v>6</v>
      </c>
      <c r="P39" s="384">
        <v>0.34699999999999998</v>
      </c>
      <c r="Q39" s="410">
        <f t="shared" si="15"/>
        <v>29</v>
      </c>
      <c r="R39" s="319">
        <v>1.67</v>
      </c>
      <c r="S39" s="321">
        <f t="shared" si="7"/>
        <v>18</v>
      </c>
      <c r="T39" s="384">
        <f t="shared" si="16"/>
        <v>17.666666666666668</v>
      </c>
      <c r="U39" s="410">
        <f t="shared" si="17"/>
        <v>21</v>
      </c>
      <c r="V39" s="319">
        <f t="shared" si="41"/>
        <v>14</v>
      </c>
      <c r="W39" s="321">
        <f t="shared" si="19"/>
        <v>16</v>
      </c>
      <c r="X39" s="384">
        <v>76.22</v>
      </c>
      <c r="Y39" s="410">
        <f t="shared" si="20"/>
        <v>3</v>
      </c>
      <c r="Z39" s="319">
        <v>83.12</v>
      </c>
      <c r="AA39" s="321">
        <f t="shared" si="21"/>
        <v>4</v>
      </c>
      <c r="AB39" s="384">
        <v>34.299999999999997</v>
      </c>
      <c r="AC39" s="305">
        <f t="shared" si="22"/>
        <v>20</v>
      </c>
      <c r="AD39" s="319">
        <v>39.200000000000003</v>
      </c>
      <c r="AE39" s="321">
        <f t="shared" si="23"/>
        <v>24</v>
      </c>
      <c r="AF39" s="384">
        <f t="shared" si="24"/>
        <v>11.5</v>
      </c>
      <c r="AG39" s="305">
        <f t="shared" si="25"/>
        <v>8</v>
      </c>
      <c r="AH39" s="319">
        <f t="shared" si="40"/>
        <v>14</v>
      </c>
      <c r="AI39" s="307">
        <f t="shared" si="27"/>
        <v>9</v>
      </c>
      <c r="AJ39" s="384">
        <v>0.3</v>
      </c>
      <c r="AK39" s="305">
        <f t="shared" si="28"/>
        <v>25</v>
      </c>
      <c r="AL39" s="319">
        <v>25.6</v>
      </c>
      <c r="AM39" s="307">
        <f t="shared" si="29"/>
        <v>19</v>
      </c>
      <c r="AN39" s="384">
        <v>6.9</v>
      </c>
      <c r="AO39" s="305">
        <f t="shared" si="30"/>
        <v>28</v>
      </c>
      <c r="AP39" s="319">
        <v>9.5</v>
      </c>
      <c r="AQ39" s="307">
        <f t="shared" si="31"/>
        <v>29</v>
      </c>
      <c r="AR39" s="385">
        <v>19.399999999999999</v>
      </c>
      <c r="AS39" s="305">
        <f t="shared" si="8"/>
        <v>20</v>
      </c>
      <c r="AT39" s="319">
        <v>19.399999999999999</v>
      </c>
      <c r="AU39" s="307">
        <f t="shared" si="9"/>
        <v>22</v>
      </c>
      <c r="AV39" s="384">
        <f t="shared" si="32"/>
        <v>24.333333333333332</v>
      </c>
      <c r="AW39" s="305">
        <f t="shared" si="33"/>
        <v>27</v>
      </c>
      <c r="AX39" s="319">
        <f t="shared" si="39"/>
        <v>23.333333333333332</v>
      </c>
      <c r="AY39" s="321">
        <f t="shared" si="35"/>
        <v>26</v>
      </c>
      <c r="AZ39" s="384" cm="1">
        <f t="array" aca="1" ref="AZ39" ca="1">ROUNDUP(SUMPRODUCT(--($D$7:$AY$7=AZ$7),$D$3:$AY$3,$D39:$AY39),3)</f>
        <v>17.834</v>
      </c>
      <c r="BA39" s="305">
        <f t="shared" ca="1" si="42"/>
        <v>22</v>
      </c>
      <c r="BB39" s="319" cm="1">
        <f t="array" aca="1" ref="BB39" ca="1">ROUNDUP(SUMPRODUCT(--($D$7:$AY$7=BB$7),$D$3:$AY$3,$D39:$AY39),3)</f>
        <v>17.112000000000002</v>
      </c>
      <c r="BC39" s="321">
        <f t="shared" ca="1" si="43"/>
        <v>20</v>
      </c>
      <c r="BD39" s="451">
        <f t="shared" ca="1" si="38"/>
        <v>2</v>
      </c>
    </row>
    <row r="40" spans="2:56" s="445" customFormat="1" ht="15" customHeight="1">
      <c r="B40" s="322" t="s">
        <v>90</v>
      </c>
      <c r="C40" s="344" t="s">
        <v>82</v>
      </c>
      <c r="D40" s="384">
        <v>52.87</v>
      </c>
      <c r="E40" s="305">
        <f t="shared" si="10"/>
        <v>14</v>
      </c>
      <c r="F40" s="319">
        <v>0</v>
      </c>
      <c r="G40" s="321">
        <f t="shared" si="11"/>
        <v>14</v>
      </c>
      <c r="H40" s="858"/>
      <c r="I40" s="859"/>
      <c r="J40" s="318">
        <v>3</v>
      </c>
      <c r="K40" s="307">
        <f t="shared" si="12"/>
        <v>27</v>
      </c>
      <c r="L40" s="384">
        <v>73.8</v>
      </c>
      <c r="M40" s="305">
        <f t="shared" si="13"/>
        <v>20</v>
      </c>
      <c r="N40" s="319">
        <v>74.400000000000006</v>
      </c>
      <c r="O40" s="307">
        <f t="shared" ref="O40:O42" si="44">RANK(N40,$N$13:$N$42,0)</f>
        <v>20</v>
      </c>
      <c r="P40" s="384">
        <v>0.374</v>
      </c>
      <c r="Q40" s="410">
        <f t="shared" si="15"/>
        <v>30</v>
      </c>
      <c r="R40" s="319">
        <v>2.27</v>
      </c>
      <c r="S40" s="321">
        <f t="shared" si="7"/>
        <v>15</v>
      </c>
      <c r="T40" s="384">
        <f t="shared" si="16"/>
        <v>21.333333333333332</v>
      </c>
      <c r="U40" s="410">
        <f t="shared" si="17"/>
        <v>26</v>
      </c>
      <c r="V40" s="319">
        <f t="shared" si="41"/>
        <v>19</v>
      </c>
      <c r="W40" s="321">
        <f t="shared" si="19"/>
        <v>27</v>
      </c>
      <c r="X40" s="384">
        <v>151.68</v>
      </c>
      <c r="Y40" s="410">
        <f t="shared" si="20"/>
        <v>21</v>
      </c>
      <c r="Z40" s="319">
        <v>164.35</v>
      </c>
      <c r="AA40" s="321">
        <f t="shared" si="21"/>
        <v>17</v>
      </c>
      <c r="AB40" s="384">
        <v>23.1</v>
      </c>
      <c r="AC40" s="305">
        <f t="shared" si="22"/>
        <v>27</v>
      </c>
      <c r="AD40" s="319">
        <v>33.6</v>
      </c>
      <c r="AE40" s="321">
        <f t="shared" si="23"/>
        <v>27</v>
      </c>
      <c r="AF40" s="384">
        <f t="shared" si="24"/>
        <v>24</v>
      </c>
      <c r="AG40" s="305">
        <f t="shared" si="25"/>
        <v>29</v>
      </c>
      <c r="AH40" s="319">
        <f t="shared" si="40"/>
        <v>22</v>
      </c>
      <c r="AI40" s="307">
        <f t="shared" si="27"/>
        <v>29</v>
      </c>
      <c r="AJ40" s="384">
        <v>0.3</v>
      </c>
      <c r="AK40" s="305">
        <f t="shared" si="28"/>
        <v>25</v>
      </c>
      <c r="AL40" s="319">
        <v>6.9</v>
      </c>
      <c r="AM40" s="307">
        <f t="shared" si="29"/>
        <v>27</v>
      </c>
      <c r="AN40" s="384">
        <v>11.4</v>
      </c>
      <c r="AO40" s="305">
        <f t="shared" si="30"/>
        <v>25</v>
      </c>
      <c r="AP40" s="319">
        <v>14.3</v>
      </c>
      <c r="AQ40" s="307">
        <f t="shared" si="31"/>
        <v>23</v>
      </c>
      <c r="AR40" s="385">
        <v>22.8</v>
      </c>
      <c r="AS40" s="305">
        <f t="shared" si="8"/>
        <v>13</v>
      </c>
      <c r="AT40" s="319">
        <v>26.3</v>
      </c>
      <c r="AU40" s="307">
        <f t="shared" si="9"/>
        <v>9</v>
      </c>
      <c r="AV40" s="384">
        <f t="shared" si="32"/>
        <v>21</v>
      </c>
      <c r="AW40" s="305">
        <f t="shared" si="33"/>
        <v>22</v>
      </c>
      <c r="AX40" s="319">
        <f t="shared" si="39"/>
        <v>19.666666666666668</v>
      </c>
      <c r="AY40" s="321">
        <f t="shared" si="35"/>
        <v>19</v>
      </c>
      <c r="AZ40" s="384" cm="1">
        <f t="array" aca="1" ref="AZ40" ca="1">ROUNDUP(SUMPRODUCT(--($D$7:$AY$7=AZ$7),$D$3:$AY$3,$D40:$AY40),3)</f>
        <v>22.112000000000002</v>
      </c>
      <c r="BA40" s="305">
        <f t="shared" ca="1" si="42"/>
        <v>28</v>
      </c>
      <c r="BB40" s="319" cm="1">
        <f t="array" aca="1" ref="BB40" ca="1">ROUNDUP(SUMPRODUCT(--($D$7:$AY$7=BB$7),$D$3:$AY$3,$D40:$AY40),3)</f>
        <v>20.223000000000003</v>
      </c>
      <c r="BC40" s="321">
        <f t="shared" ca="1" si="43"/>
        <v>28</v>
      </c>
      <c r="BD40" s="451">
        <f t="shared" ca="1" si="38"/>
        <v>0</v>
      </c>
    </row>
    <row r="41" spans="2:56" s="445" customFormat="1" ht="15" customHeight="1">
      <c r="B41" s="322" t="s">
        <v>90</v>
      </c>
      <c r="C41" s="344" t="s">
        <v>57</v>
      </c>
      <c r="D41" s="384">
        <v>0</v>
      </c>
      <c r="E41" s="305">
        <f t="shared" si="10"/>
        <v>20</v>
      </c>
      <c r="F41" s="319">
        <v>0</v>
      </c>
      <c r="G41" s="321">
        <f t="shared" si="11"/>
        <v>14</v>
      </c>
      <c r="H41" s="858"/>
      <c r="I41" s="859"/>
      <c r="J41" s="318">
        <v>8</v>
      </c>
      <c r="K41" s="307">
        <f t="shared" si="12"/>
        <v>19</v>
      </c>
      <c r="L41" s="384">
        <v>71.599999999999994</v>
      </c>
      <c r="M41" s="305">
        <f t="shared" si="13"/>
        <v>24</v>
      </c>
      <c r="N41" s="319">
        <v>70.8</v>
      </c>
      <c r="O41" s="307">
        <f t="shared" si="44"/>
        <v>24</v>
      </c>
      <c r="P41" s="384">
        <v>0.26800000000000002</v>
      </c>
      <c r="Q41" s="410">
        <f t="shared" si="15"/>
        <v>28</v>
      </c>
      <c r="R41" s="319">
        <v>2.0099999999999998</v>
      </c>
      <c r="S41" s="321">
        <f t="shared" si="7"/>
        <v>17</v>
      </c>
      <c r="T41" s="384">
        <f t="shared" si="16"/>
        <v>24</v>
      </c>
      <c r="U41" s="410">
        <f t="shared" si="17"/>
        <v>29</v>
      </c>
      <c r="V41" s="319">
        <f t="shared" si="41"/>
        <v>18.5</v>
      </c>
      <c r="W41" s="321">
        <f t="shared" si="19"/>
        <v>26</v>
      </c>
      <c r="X41" s="384">
        <v>113.22</v>
      </c>
      <c r="Y41" s="410">
        <f t="shared" si="20"/>
        <v>14</v>
      </c>
      <c r="Z41" s="319">
        <v>120.37</v>
      </c>
      <c r="AA41" s="321">
        <f t="shared" si="21"/>
        <v>11</v>
      </c>
      <c r="AB41" s="384">
        <v>36.9</v>
      </c>
      <c r="AC41" s="305">
        <f t="shared" si="22"/>
        <v>18</v>
      </c>
      <c r="AD41" s="319">
        <v>47.9</v>
      </c>
      <c r="AE41" s="321">
        <f t="shared" si="23"/>
        <v>17</v>
      </c>
      <c r="AF41" s="384">
        <f t="shared" si="24"/>
        <v>16</v>
      </c>
      <c r="AG41" s="305">
        <f t="shared" si="25"/>
        <v>14</v>
      </c>
      <c r="AH41" s="319">
        <f t="shared" si="40"/>
        <v>14</v>
      </c>
      <c r="AI41" s="307">
        <f t="shared" si="27"/>
        <v>9</v>
      </c>
      <c r="AJ41" s="384">
        <v>1.1000000000000001</v>
      </c>
      <c r="AK41" s="305">
        <f t="shared" si="28"/>
        <v>17</v>
      </c>
      <c r="AL41" s="319">
        <v>19.7</v>
      </c>
      <c r="AM41" s="307">
        <f t="shared" si="29"/>
        <v>22</v>
      </c>
      <c r="AN41" s="384">
        <v>20.399999999999999</v>
      </c>
      <c r="AO41" s="305">
        <f t="shared" si="30"/>
        <v>17</v>
      </c>
      <c r="AP41" s="319">
        <v>24.2</v>
      </c>
      <c r="AQ41" s="307">
        <f t="shared" si="31"/>
        <v>16</v>
      </c>
      <c r="AR41" s="385">
        <v>27.9</v>
      </c>
      <c r="AS41" s="305">
        <f t="shared" si="8"/>
        <v>4</v>
      </c>
      <c r="AT41" s="319">
        <v>27.9</v>
      </c>
      <c r="AU41" s="307">
        <f t="shared" si="9"/>
        <v>6</v>
      </c>
      <c r="AV41" s="384">
        <f t="shared" si="32"/>
        <v>12.666666666666666</v>
      </c>
      <c r="AW41" s="305">
        <f t="shared" si="33"/>
        <v>13</v>
      </c>
      <c r="AX41" s="319">
        <f t="shared" si="39"/>
        <v>14.666666666666666</v>
      </c>
      <c r="AY41" s="321">
        <f t="shared" si="35"/>
        <v>15</v>
      </c>
      <c r="AZ41" s="384" cm="1">
        <f t="array" aca="1" ref="AZ41" ca="1">ROUNDUP(SUMPRODUCT(--($D$7:$AY$7=AZ$7),$D$3:$AY$3,$D41:$AY41),3)</f>
        <v>17.556000000000001</v>
      </c>
      <c r="BA41" s="305">
        <f t="shared" ca="1" si="42"/>
        <v>20</v>
      </c>
      <c r="BB41" s="319" cm="1">
        <f t="array" aca="1" ref="BB41" ca="1">ROUNDUP(SUMPRODUCT(--($D$7:$AY$7=BB$7),$D$3:$AY$3,$D41:$AY41),3)</f>
        <v>15.722999999999999</v>
      </c>
      <c r="BC41" s="321">
        <f t="shared" ca="1" si="43"/>
        <v>16</v>
      </c>
      <c r="BD41" s="451">
        <f t="shared" ca="1" si="38"/>
        <v>4</v>
      </c>
    </row>
    <row r="42" spans="2:56" s="445" customFormat="1" ht="15" customHeight="1">
      <c r="B42" s="322" t="s">
        <v>90</v>
      </c>
      <c r="C42" s="344" t="s">
        <v>58</v>
      </c>
      <c r="D42" s="384">
        <v>0</v>
      </c>
      <c r="E42" s="305">
        <f>RANK(D42,$D$13:$D$42,0)</f>
        <v>20</v>
      </c>
      <c r="F42" s="319">
        <v>0</v>
      </c>
      <c r="G42" s="321">
        <f>RANK(F42,$F$13:$F$42,0)</f>
        <v>14</v>
      </c>
      <c r="H42" s="860"/>
      <c r="I42" s="861"/>
      <c r="J42" s="318">
        <v>5</v>
      </c>
      <c r="K42" s="307">
        <f t="shared" si="12"/>
        <v>23</v>
      </c>
      <c r="L42" s="384">
        <v>78.8</v>
      </c>
      <c r="M42" s="305">
        <f t="shared" si="13"/>
        <v>13</v>
      </c>
      <c r="N42" s="319">
        <v>79.400000000000006</v>
      </c>
      <c r="O42" s="307">
        <f t="shared" si="44"/>
        <v>5</v>
      </c>
      <c r="P42" s="387">
        <v>0.13</v>
      </c>
      <c r="Q42" s="416">
        <f t="shared" si="15"/>
        <v>19</v>
      </c>
      <c r="R42" s="319">
        <v>4.42</v>
      </c>
      <c r="S42" s="321">
        <f t="shared" si="7"/>
        <v>5</v>
      </c>
      <c r="T42" s="387">
        <f t="shared" si="16"/>
        <v>17.333333333333332</v>
      </c>
      <c r="U42" s="416">
        <f t="shared" si="17"/>
        <v>20</v>
      </c>
      <c r="V42" s="319">
        <f t="shared" si="41"/>
        <v>11.75</v>
      </c>
      <c r="W42" s="321">
        <f t="shared" si="19"/>
        <v>12</v>
      </c>
      <c r="X42" s="384">
        <v>97.26</v>
      </c>
      <c r="Y42" s="416">
        <f t="shared" si="20"/>
        <v>9</v>
      </c>
      <c r="Z42" s="319">
        <v>117.43</v>
      </c>
      <c r="AA42" s="321">
        <f t="shared" si="21"/>
        <v>10</v>
      </c>
      <c r="AB42" s="384">
        <v>38.5</v>
      </c>
      <c r="AC42" s="305">
        <f t="shared" si="22"/>
        <v>16</v>
      </c>
      <c r="AD42" s="319">
        <v>38.9</v>
      </c>
      <c r="AE42" s="321">
        <f t="shared" si="23"/>
        <v>25</v>
      </c>
      <c r="AF42" s="384">
        <f t="shared" si="24"/>
        <v>12.5</v>
      </c>
      <c r="AG42" s="305">
        <f t="shared" si="25"/>
        <v>11</v>
      </c>
      <c r="AH42" s="319">
        <f t="shared" si="40"/>
        <v>17.5</v>
      </c>
      <c r="AI42" s="307">
        <f t="shared" si="27"/>
        <v>19</v>
      </c>
      <c r="AJ42" s="384">
        <v>0.5</v>
      </c>
      <c r="AK42" s="305">
        <f t="shared" si="28"/>
        <v>22</v>
      </c>
      <c r="AL42" s="319">
        <v>19.899999999999999</v>
      </c>
      <c r="AM42" s="307">
        <f t="shared" si="29"/>
        <v>21</v>
      </c>
      <c r="AN42" s="384">
        <v>8.6</v>
      </c>
      <c r="AO42" s="305">
        <f t="shared" si="30"/>
        <v>27</v>
      </c>
      <c r="AP42" s="319">
        <v>9.9</v>
      </c>
      <c r="AQ42" s="307">
        <f t="shared" si="31"/>
        <v>28</v>
      </c>
      <c r="AR42" s="385">
        <v>22.7</v>
      </c>
      <c r="AS42" s="305">
        <f t="shared" si="8"/>
        <v>14</v>
      </c>
      <c r="AT42" s="319">
        <v>22.7</v>
      </c>
      <c r="AU42" s="307">
        <f t="shared" si="9"/>
        <v>15</v>
      </c>
      <c r="AV42" s="384">
        <f t="shared" si="32"/>
        <v>21</v>
      </c>
      <c r="AW42" s="305">
        <f t="shared" si="33"/>
        <v>22</v>
      </c>
      <c r="AX42" s="319">
        <f t="shared" si="39"/>
        <v>21.333333333333332</v>
      </c>
      <c r="AY42" s="321">
        <f t="shared" si="35"/>
        <v>24</v>
      </c>
      <c r="AZ42" s="384" cm="1">
        <f t="array" aca="1" ref="AZ42" ca="1">ROUNDUP(SUMPRODUCT(--($D$7:$AY$7=AZ$7),$D$3:$AY$3,$D42:$AY42),3)</f>
        <v>16.945</v>
      </c>
      <c r="BA42" s="305">
        <f t="shared" ca="1" si="42"/>
        <v>18</v>
      </c>
      <c r="BB42" s="319" cm="1">
        <f t="array" aca="1" ref="BB42" ca="1">ROUNDUP(SUMPRODUCT(--($D$7:$AY$7=BB$7),$D$3:$AY$3,$D42:$AY42),3)</f>
        <v>16.862000000000002</v>
      </c>
      <c r="BC42" s="321">
        <f t="shared" ca="1" si="43"/>
        <v>19</v>
      </c>
      <c r="BD42" s="451">
        <f t="shared" ca="1" si="38"/>
        <v>-1</v>
      </c>
    </row>
    <row r="43" spans="2:56" s="445" customFormat="1" ht="15" customHeight="1">
      <c r="B43" s="756" t="s">
        <v>347</v>
      </c>
      <c r="C43" s="837"/>
      <c r="D43" s="347">
        <f>SUM(D13:D42)</f>
        <v>1145.6099999999999</v>
      </c>
      <c r="E43" s="348"/>
      <c r="F43" s="348">
        <f>SUM(F13:F42)</f>
        <v>806.17000000000007</v>
      </c>
      <c r="G43" s="391"/>
      <c r="H43" s="347">
        <f>SUM(H13:H42)</f>
        <v>0</v>
      </c>
      <c r="I43" s="348"/>
      <c r="J43" s="348">
        <f>SUM(J13:J42)</f>
        <v>322</v>
      </c>
      <c r="K43" s="391"/>
      <c r="L43" s="347">
        <f>SUM(L13:L42)</f>
        <v>2267.4</v>
      </c>
      <c r="M43" s="348"/>
      <c r="N43" s="348">
        <f>SUM(N13:N42)</f>
        <v>2249.8000000000002</v>
      </c>
      <c r="O43" s="391"/>
      <c r="P43" s="390">
        <f>SUM(P13:P42)</f>
        <v>3.5199999999999996</v>
      </c>
      <c r="Q43" s="350"/>
      <c r="R43" s="348">
        <f>SUM(R13:R42)</f>
        <v>73.889999999999986</v>
      </c>
      <c r="S43" s="391"/>
      <c r="T43" s="348"/>
      <c r="U43" s="348"/>
      <c r="V43" s="348"/>
      <c r="W43" s="348"/>
      <c r="X43" s="347">
        <f>SUM(X13:X42)</f>
        <v>4042.2499999999991</v>
      </c>
      <c r="Y43" s="350"/>
      <c r="Z43" s="348">
        <f>SUM(Z13:Z42)</f>
        <v>5219.9800000000005</v>
      </c>
      <c r="AA43" s="391"/>
      <c r="AB43" s="347">
        <f>SUM(AB13:AB42)</f>
        <v>1278.8500000000001</v>
      </c>
      <c r="AC43" s="348"/>
      <c r="AD43" s="348">
        <f>SUM(AD13:AD42)</f>
        <v>1464.7</v>
      </c>
      <c r="AE43" s="391"/>
      <c r="AF43" s="348"/>
      <c r="AG43" s="348"/>
      <c r="AH43" s="348"/>
      <c r="AI43" s="348"/>
      <c r="AJ43" s="347"/>
      <c r="AK43" s="348"/>
      <c r="AL43" s="348"/>
      <c r="AM43" s="391"/>
      <c r="AN43" s="347"/>
      <c r="AO43" s="348"/>
      <c r="AP43" s="348"/>
      <c r="AQ43" s="391"/>
      <c r="AR43" s="348">
        <f>SUM(AR13:AR42)</f>
        <v>669.85</v>
      </c>
      <c r="AS43" s="430"/>
      <c r="AT43" s="348">
        <f>SUM(AT13:AT42)</f>
        <v>692.9</v>
      </c>
      <c r="AU43" s="430"/>
      <c r="AV43" s="347"/>
      <c r="AW43" s="348"/>
      <c r="AX43" s="348"/>
      <c r="AY43" s="391"/>
      <c r="AZ43" s="337"/>
      <c r="BA43" s="351"/>
      <c r="BB43" s="351"/>
      <c r="BC43" s="352"/>
      <c r="BD43" s="352"/>
    </row>
    <row r="44" spans="2:56" s="445" customFormat="1">
      <c r="B44" s="758" t="s">
        <v>112</v>
      </c>
      <c r="C44" s="800"/>
      <c r="D44" s="353" t="s">
        <v>434</v>
      </c>
      <c r="E44" s="354"/>
      <c r="F44" s="354">
        <f>MIN(F13:F42)</f>
        <v>0</v>
      </c>
      <c r="G44" s="355"/>
      <c r="H44" s="353">
        <f>MIN(H13:H42)</f>
        <v>0</v>
      </c>
      <c r="I44" s="354"/>
      <c r="J44" s="354">
        <f>MIN(J13:J42)</f>
        <v>2</v>
      </c>
      <c r="K44" s="355"/>
      <c r="L44" s="353">
        <f>MIN(L13:L42)</f>
        <v>60</v>
      </c>
      <c r="M44" s="354"/>
      <c r="N44" s="354">
        <f>MIN(N13:N42)</f>
        <v>59.8</v>
      </c>
      <c r="O44" s="355"/>
      <c r="P44" s="353">
        <f>MIN(P13:P42)</f>
        <v>0.01</v>
      </c>
      <c r="Q44" s="354"/>
      <c r="R44" s="354">
        <f>MIN(R13:R42)</f>
        <v>-0.71</v>
      </c>
      <c r="S44" s="355"/>
      <c r="T44" s="354"/>
      <c r="U44" s="354"/>
      <c r="V44" s="354"/>
      <c r="W44" s="354"/>
      <c r="X44" s="353">
        <f>MIN(X13:X42)</f>
        <v>65.09</v>
      </c>
      <c r="Y44" s="354"/>
      <c r="Z44" s="354">
        <f>MIN(Z13:Z42)</f>
        <v>75.08</v>
      </c>
      <c r="AA44" s="355"/>
      <c r="AB44" s="353">
        <f>MIN(AB13:AB42)</f>
        <v>20.3</v>
      </c>
      <c r="AC44" s="354"/>
      <c r="AD44" s="354">
        <f>MIN(AD13:AD42)</f>
        <v>19</v>
      </c>
      <c r="AE44" s="355"/>
      <c r="AF44" s="354"/>
      <c r="AG44" s="354"/>
      <c r="AH44" s="354"/>
      <c r="AI44" s="354"/>
      <c r="AJ44" s="353"/>
      <c r="AK44" s="354"/>
      <c r="AL44" s="354"/>
      <c r="AM44" s="355"/>
      <c r="AN44" s="353"/>
      <c r="AO44" s="354"/>
      <c r="AP44" s="354"/>
      <c r="AQ44" s="355"/>
      <c r="AR44" s="354">
        <f>MIN(AR13:AR42)</f>
        <v>9.8000000000000007</v>
      </c>
      <c r="AS44" s="354"/>
      <c r="AT44" s="354">
        <f>MIN(AT13:AT43)</f>
        <v>4</v>
      </c>
      <c r="AU44" s="355"/>
      <c r="AV44" s="353"/>
      <c r="AW44" s="354"/>
      <c r="AX44" s="354"/>
      <c r="AY44" s="355"/>
      <c r="AZ44" s="339"/>
      <c r="BA44" s="356"/>
      <c r="BB44" s="356"/>
      <c r="BC44" s="357"/>
      <c r="BD44" s="357"/>
    </row>
    <row r="45" spans="2:56" s="445" customFormat="1">
      <c r="B45" s="760" t="s">
        <v>113</v>
      </c>
      <c r="C45" s="801"/>
      <c r="D45" s="361">
        <f>MAX(D13:D42)</f>
        <v>82.56</v>
      </c>
      <c r="E45" s="359"/>
      <c r="F45" s="359">
        <f>MAX(F13:F42)</f>
        <v>74.8</v>
      </c>
      <c r="G45" s="360"/>
      <c r="H45" s="361">
        <f>MAX(H13:H42)</f>
        <v>0</v>
      </c>
      <c r="I45" s="359"/>
      <c r="J45" s="359">
        <f>MAX(J13:J42)</f>
        <v>19</v>
      </c>
      <c r="K45" s="360"/>
      <c r="L45" s="361">
        <f>MAX(L13:L42)</f>
        <v>90</v>
      </c>
      <c r="M45" s="359"/>
      <c r="N45" s="359">
        <f>MAX(N13:N42)</f>
        <v>89.8</v>
      </c>
      <c r="O45" s="360"/>
      <c r="P45" s="361">
        <f>MAX(P13:P42)</f>
        <v>0.374</v>
      </c>
      <c r="Q45" s="359"/>
      <c r="R45" s="359">
        <f>MAX(R13:R42)</f>
        <v>7.8</v>
      </c>
      <c r="S45" s="360"/>
      <c r="T45" s="359"/>
      <c r="U45" s="359"/>
      <c r="V45" s="359"/>
      <c r="W45" s="359"/>
      <c r="X45" s="361">
        <f>MAX(X13:X42)</f>
        <v>272.70999999999998</v>
      </c>
      <c r="Y45" s="359"/>
      <c r="Z45" s="359">
        <f>MAX(Z13:Z42)</f>
        <v>492.42</v>
      </c>
      <c r="AA45" s="360"/>
      <c r="AB45" s="361">
        <f>MAX(AB13:AB42)</f>
        <v>72.5</v>
      </c>
      <c r="AC45" s="359"/>
      <c r="AD45" s="359">
        <f>MAX(AD13:AD42)</f>
        <v>69.2</v>
      </c>
      <c r="AE45" s="360"/>
      <c r="AF45" s="359"/>
      <c r="AG45" s="359"/>
      <c r="AH45" s="359"/>
      <c r="AI45" s="359"/>
      <c r="AJ45" s="361"/>
      <c r="AK45" s="359"/>
      <c r="AL45" s="359"/>
      <c r="AM45" s="360"/>
      <c r="AN45" s="361"/>
      <c r="AO45" s="359"/>
      <c r="AP45" s="359"/>
      <c r="AQ45" s="360"/>
      <c r="AR45" s="359">
        <f>MAX(AR13:AR42)</f>
        <v>35.799999999999997</v>
      </c>
      <c r="AS45" s="359"/>
      <c r="AT45" s="359">
        <f>MAX(AT13:AT42)</f>
        <v>41</v>
      </c>
      <c r="AU45" s="360"/>
      <c r="AV45" s="361"/>
      <c r="AW45" s="359"/>
      <c r="AX45" s="359"/>
      <c r="AY45" s="360"/>
      <c r="AZ45" s="341"/>
      <c r="BA45" s="427"/>
      <c r="BB45" s="427"/>
      <c r="BC45" s="428"/>
      <c r="BD45" s="428"/>
    </row>
    <row r="46" spans="2:56" s="445" customFormat="1" ht="14.1" customHeight="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Z46" s="21"/>
      <c r="BA46" s="21"/>
      <c r="BB46" s="21"/>
      <c r="BC46" s="21"/>
      <c r="BD46" s="21"/>
    </row>
    <row r="47" spans="2:56" s="445" customFormat="1" ht="14.1" customHeight="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U47" s="21"/>
      <c r="AV47" s="21"/>
      <c r="AW47" s="21"/>
      <c r="AX47" s="21"/>
      <c r="AY47" s="21"/>
      <c r="AZ47" s="21"/>
      <c r="BA47" s="21"/>
    </row>
    <row r="48" spans="2:56" s="445" customFormat="1" ht="14.1" customHeight="1">
      <c r="B48" s="21"/>
      <c r="C48" s="21"/>
      <c r="E48" s="21"/>
      <c r="F48" s="21"/>
      <c r="G48" s="21"/>
      <c r="H48" s="21"/>
      <c r="I48" s="21"/>
      <c r="J48" s="21"/>
      <c r="K48" s="21"/>
      <c r="L48" s="21"/>
      <c r="M48" s="21"/>
      <c r="N48" s="21"/>
      <c r="O48" s="21"/>
      <c r="P48" s="21"/>
      <c r="Q48" s="21"/>
      <c r="R48" s="21"/>
      <c r="S48" s="21"/>
      <c r="T48" s="21"/>
      <c r="U48" s="21"/>
      <c r="V48" s="21"/>
      <c r="W48" s="21"/>
      <c r="X48" s="21"/>
      <c r="Y48" s="21"/>
    </row>
    <row r="49" spans="2:28" s="484" customFormat="1" ht="14.1" customHeight="1">
      <c r="B49" s="21"/>
      <c r="C49" s="21"/>
      <c r="D49" s="21"/>
      <c r="E49" s="21"/>
      <c r="F49" s="21"/>
      <c r="G49" s="21"/>
      <c r="H49" s="21"/>
      <c r="I49" s="21"/>
      <c r="J49" s="21"/>
      <c r="K49" s="21"/>
      <c r="L49" s="21"/>
      <c r="M49" s="21"/>
      <c r="N49" s="21"/>
      <c r="O49" s="21"/>
      <c r="P49" s="21"/>
      <c r="Q49" s="21"/>
      <c r="R49" s="21"/>
      <c r="S49" s="21"/>
      <c r="T49" s="21"/>
      <c r="U49" s="21"/>
      <c r="V49" s="21"/>
      <c r="W49" s="21"/>
      <c r="X49" s="21"/>
      <c r="Y49" s="21"/>
    </row>
    <row r="50" spans="2:28" s="445" customFormat="1" ht="14.1" customHeight="1">
      <c r="B50" s="21"/>
      <c r="C50" s="21"/>
      <c r="D50" s="21"/>
      <c r="E50" s="21"/>
      <c r="F50" s="21"/>
      <c r="G50" s="21"/>
      <c r="H50" s="21"/>
      <c r="I50" s="21"/>
      <c r="J50" s="21"/>
      <c r="K50" s="21"/>
      <c r="L50" s="21"/>
      <c r="M50" s="21"/>
      <c r="N50" s="21"/>
      <c r="O50" s="21"/>
      <c r="P50" s="21"/>
      <c r="Q50" s="21"/>
      <c r="R50" s="21"/>
      <c r="S50" s="21"/>
      <c r="T50" s="21"/>
      <c r="U50" s="21"/>
      <c r="V50" s="21"/>
      <c r="W50" s="21"/>
      <c r="X50" s="21"/>
      <c r="Y50" s="21"/>
    </row>
    <row r="52" spans="2:28">
      <c r="X52" s="812"/>
      <c r="Y52" s="812"/>
      <c r="Z52" s="812"/>
      <c r="AA52" s="812"/>
      <c r="AB52" s="812"/>
    </row>
    <row r="53" spans="2:28">
      <c r="X53" s="812"/>
      <c r="Y53" s="812"/>
      <c r="Z53" s="812"/>
      <c r="AA53" s="812"/>
      <c r="AB53" s="812"/>
    </row>
    <row r="54" spans="2:28">
      <c r="X54" s="812"/>
      <c r="Y54" s="812"/>
      <c r="Z54" s="812"/>
      <c r="AA54" s="812"/>
      <c r="AB54" s="812"/>
    </row>
    <row r="55" spans="2:28">
      <c r="X55" s="812"/>
      <c r="Y55" s="812"/>
      <c r="Z55" s="812"/>
      <c r="AA55" s="812"/>
      <c r="AB55" s="812"/>
    </row>
    <row r="56" spans="2:28">
      <c r="X56" s="812"/>
      <c r="Y56" s="812"/>
      <c r="Z56" s="812"/>
      <c r="AA56" s="812"/>
      <c r="AB56" s="812"/>
    </row>
    <row r="57" spans="2:28">
      <c r="X57" s="812"/>
      <c r="Y57" s="812"/>
      <c r="Z57" s="812"/>
      <c r="AA57" s="812"/>
      <c r="AB57" s="812"/>
    </row>
    <row r="58" spans="2:28">
      <c r="X58" s="812"/>
      <c r="Y58" s="812"/>
      <c r="Z58" s="812"/>
      <c r="AA58" s="812"/>
      <c r="AB58" s="812"/>
    </row>
    <row r="59" spans="2:28">
      <c r="X59" s="812"/>
      <c r="Y59" s="812"/>
      <c r="Z59" s="812"/>
      <c r="AA59" s="812"/>
      <c r="AB59" s="812"/>
    </row>
    <row r="60" spans="2:28">
      <c r="X60" s="812"/>
      <c r="Y60" s="812"/>
      <c r="Z60" s="812"/>
      <c r="AA60" s="812"/>
      <c r="AB60" s="812"/>
    </row>
    <row r="61" spans="2:28">
      <c r="X61" s="812"/>
      <c r="Y61" s="812"/>
      <c r="Z61" s="812"/>
      <c r="AA61" s="812"/>
      <c r="AB61" s="812"/>
    </row>
    <row r="62" spans="2:28">
      <c r="X62" s="812"/>
      <c r="Y62" s="812"/>
      <c r="Z62" s="812"/>
      <c r="AA62" s="812"/>
      <c r="AB62" s="812"/>
    </row>
    <row r="63" spans="2:28">
      <c r="X63" s="812"/>
      <c r="Y63" s="812"/>
      <c r="Z63" s="812"/>
      <c r="AA63" s="812"/>
      <c r="AB63" s="812"/>
    </row>
    <row r="64" spans="2:28">
      <c r="X64" s="812"/>
      <c r="Y64" s="812"/>
      <c r="Z64" s="812"/>
      <c r="AA64" s="812"/>
      <c r="AB64" s="812"/>
    </row>
  </sheetData>
  <sheetProtection formatCells="0"/>
  <mergeCells count="51">
    <mergeCell ref="B8:B12"/>
    <mergeCell ref="C8:C12"/>
    <mergeCell ref="D8:BD8"/>
    <mergeCell ref="D9:W9"/>
    <mergeCell ref="X9:AE9"/>
    <mergeCell ref="AJ9:AY9"/>
    <mergeCell ref="AZ9:BD10"/>
    <mergeCell ref="D10:G10"/>
    <mergeCell ref="H10:K10"/>
    <mergeCell ref="L10:O10"/>
    <mergeCell ref="AN10:AQ10"/>
    <mergeCell ref="AR10:AU10"/>
    <mergeCell ref="AV10:AY10"/>
    <mergeCell ref="D11:E11"/>
    <mergeCell ref="F11:G11"/>
    <mergeCell ref="H11:I11"/>
    <mergeCell ref="J11:K11"/>
    <mergeCell ref="L11:M11"/>
    <mergeCell ref="N11:O11"/>
    <mergeCell ref="P11:Q11"/>
    <mergeCell ref="P10:S10"/>
    <mergeCell ref="T10:W10"/>
    <mergeCell ref="X10:AA10"/>
    <mergeCell ref="AB10:AE10"/>
    <mergeCell ref="AF10:AI10"/>
    <mergeCell ref="AJ10:AM10"/>
    <mergeCell ref="AJ11:AK11"/>
    <mergeCell ref="AL11:AM11"/>
    <mergeCell ref="AN11:AO11"/>
    <mergeCell ref="R11:S11"/>
    <mergeCell ref="T11:U11"/>
    <mergeCell ref="V11:W11"/>
    <mergeCell ref="X11:Y11"/>
    <mergeCell ref="Z11:AA11"/>
    <mergeCell ref="AB11:AC11"/>
    <mergeCell ref="X52:AB64"/>
    <mergeCell ref="BB11:BC11"/>
    <mergeCell ref="BD11:BD12"/>
    <mergeCell ref="H13:I42"/>
    <mergeCell ref="B43:C43"/>
    <mergeCell ref="B44:C44"/>
    <mergeCell ref="B45:C45"/>
    <mergeCell ref="AP11:AQ11"/>
    <mergeCell ref="AR11:AS11"/>
    <mergeCell ref="AT11:AU11"/>
    <mergeCell ref="AV11:AW11"/>
    <mergeCell ref="AX11:AY11"/>
    <mergeCell ref="AZ11:BA11"/>
    <mergeCell ref="AD11:AE11"/>
    <mergeCell ref="AF11:AG11"/>
    <mergeCell ref="AH11:AI11"/>
  </mergeCells>
  <conditionalFormatting sqref="BD13:BD42">
    <cfRule type="cellIs" dxfId="2" priority="1" operator="equal">
      <formula>0</formula>
    </cfRule>
    <cfRule type="cellIs" dxfId="1" priority="2" operator="greaterThan">
      <formula>0</formula>
    </cfRule>
    <cfRule type="cellIs" dxfId="0" priority="3" operator="lessThan">
      <formula>0</formula>
    </cfRule>
  </conditionalFormatting>
  <hyperlinks>
    <hyperlink ref="A6" location="rng_Cover_Copyright" display="Subject to terms and conditions" xr:uid="{FF08ECED-92CC-4360-AC7F-9C23C01FBBA3}"/>
  </hyperlink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34</vt:i4>
      </vt:variant>
    </vt:vector>
  </HeadingPairs>
  <TitlesOfParts>
    <vt:vector size="38" baseType="lpstr">
      <vt:lpstr>COVER</vt:lpstr>
      <vt:lpstr>Metrics</vt:lpstr>
      <vt:lpstr>Weighting</vt:lpstr>
      <vt:lpstr>Sources</vt:lpstr>
      <vt:lpstr>bad_connection_attempts_count</vt:lpstr>
      <vt:lpstr>bnef_activity_log_count</vt:lpstr>
      <vt:lpstr>bnef_activity_log_start</vt:lpstr>
      <vt:lpstr>Country_Count</vt:lpstr>
      <vt:lpstr>data_sheet</vt:lpstr>
      <vt:lpstr>dbl_FirstData</vt:lpstr>
      <vt:lpstr>dbl_ScoreTotalWeight</vt:lpstr>
      <vt:lpstr>int_CountriesRanked</vt:lpstr>
      <vt:lpstr>int_Country_Offset</vt:lpstr>
      <vt:lpstr>int_DisplayYear_DB</vt:lpstr>
      <vt:lpstr>int_Indicator_Column</vt:lpstr>
      <vt:lpstr>int_Ranking_Column</vt:lpstr>
      <vt:lpstr>int_RankofCountry</vt:lpstr>
      <vt:lpstr>int_Year_Column_Offset</vt:lpstr>
      <vt:lpstr>int_Year_Offset</vt:lpstr>
      <vt:lpstr>last_server_connect_attempt</vt:lpstr>
      <vt:lpstr>last_server_response</vt:lpstr>
      <vt:lpstr>rng_COVER_ContentsList</vt:lpstr>
      <vt:lpstr>rng_Cover_Copyright</vt:lpstr>
      <vt:lpstr>str_Country</vt:lpstr>
      <vt:lpstr>str_HeaderGlobalRank</vt:lpstr>
      <vt:lpstr>str_Indicator</vt:lpstr>
      <vt:lpstr>str_Indicator_Unit</vt:lpstr>
      <vt:lpstr>UsageTracker!str_insightID</vt:lpstr>
      <vt:lpstr>UsageTracker!str_modelVersion</vt:lpstr>
      <vt:lpstr>str_RankColumn</vt:lpstr>
      <vt:lpstr>str_Ranking_Order</vt:lpstr>
      <vt:lpstr>str_SortOrder</vt:lpstr>
      <vt:lpstr>str_SubIndicator</vt:lpstr>
      <vt:lpstr>tbl_Comparedata_Formula</vt:lpstr>
      <vt:lpstr>tbl_Comparedata_Hardcode</vt:lpstr>
      <vt:lpstr>tbl_Table</vt:lpstr>
      <vt:lpstr>tbl_Table.Columns</vt:lpstr>
      <vt:lpstr>tbl_Table.Rows</vt:lpstr>
    </vt:vector>
  </TitlesOfParts>
  <Company>Bloomberg New Energy Finance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Peng Xu</dc:creator>
  <cp:lastModifiedBy>egomescallus</cp:lastModifiedBy>
  <cp:lastPrinted>2011-05-11T09:35:30Z</cp:lastPrinted>
  <dcterms:created xsi:type="dcterms:W3CDTF">2009-03-25T11:08:11Z</dcterms:created>
  <dcterms:modified xsi:type="dcterms:W3CDTF">2024-03-19T14:15:09Z</dcterms:modified>
</cp:coreProperties>
</file>