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unimelbcloud.sharepoint.com/teams/ColorectalCancerPPED-YeKyawAung-PhD-Program/Shared Documents/Ye Kyaw Aung-PhD-Program/Extracolonic cancer/Thesis/PREDICT/PREDICT_SPCRisk_Shared/"/>
    </mc:Choice>
  </mc:AlternateContent>
  <xr:revisionPtr revIDLastSave="46" documentId="13_ncr:1_{2EB9A925-AF07-A545-A030-2C22158E1093}" xr6:coauthVersionLast="47" xr6:coauthVersionMax="47" xr10:uidLastSave="{D2FFDCEC-A78C-498A-9C1C-BE53C9E89B69}"/>
  <workbookProtection workbookAlgorithmName="SHA-512" workbookHashValue="DnBiGqZsVBSbDa4gmFGYGtJVoEufcuovUmNSN11BBaURPpLUlQuNjVtwQVlkgJ5Z6wqalVOXCcdUa6a1o8CsLw==" workbookSaltValue="hsytoeIM0xzczToOzqqjOA==" workbookSpinCount="100000" lockStructure="1"/>
  <bookViews>
    <workbookView xWindow="0" yWindow="500" windowWidth="38400" windowHeight="19600" firstSheet="2" activeTab="2" xr2:uid="{AA5BBC96-EA06-D74A-8789-457DDE6CAAF2}"/>
  </bookViews>
  <sheets>
    <sheet name="Origin_Women_Cox" sheetId="6" state="hidden" r:id="rId1"/>
    <sheet name="PREDICT Form_Women_Cox" sheetId="5" state="hidden" r:id="rId2"/>
    <sheet name="PREDICT Form_Women_FG" sheetId="10" r:id="rId3"/>
    <sheet name="Origin_Women_FG" sheetId="9" state="hidden" r:id="rId4"/>
    <sheet name="List" sheetId="2" state="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6" l="1"/>
  <c r="C22" i="6" s="1"/>
  <c r="C22" i="5" s="1"/>
  <c r="C16" i="6"/>
  <c r="C21" i="6" s="1"/>
  <c r="C15" i="6"/>
  <c r="C14" i="6"/>
  <c r="C19" i="6" s="1"/>
  <c r="C5" i="9"/>
  <c r="D5" i="9" s="1" a="1"/>
  <c r="D5" i="9" s="1"/>
  <c r="C6" i="9"/>
  <c r="D6" i="9" s="1"/>
  <c r="C7" i="9"/>
  <c r="D7" i="9" s="1"/>
  <c r="C8" i="9"/>
  <c r="D8" i="9" s="1"/>
  <c r="C9" i="9"/>
  <c r="D9" i="9" s="1" a="1"/>
  <c r="D9" i="9" s="1"/>
  <c r="C10" i="9"/>
  <c r="D10" i="9" s="1"/>
  <c r="C11" i="9"/>
  <c r="D11" i="9" s="1"/>
  <c r="C4" i="9"/>
  <c r="D4" i="9" s="1"/>
  <c r="C20" i="6"/>
  <c r="C4" i="6"/>
  <c r="D4" i="6" s="1"/>
  <c r="C11" i="6"/>
  <c r="D11" i="6" s="1"/>
  <c r="C5" i="6"/>
  <c r="D5" i="6" s="1" a="1"/>
  <c r="D5" i="6" s="1"/>
  <c r="C6" i="6"/>
  <c r="D6" i="6" s="1"/>
  <c r="C7" i="6"/>
  <c r="D7" i="6" s="1"/>
  <c r="C8" i="6"/>
  <c r="D8" i="6" s="1"/>
  <c r="C9" i="6"/>
  <c r="D9" i="6" s="1" a="1"/>
  <c r="D9" i="6" s="1"/>
  <c r="C10" i="6"/>
  <c r="D12" i="9" l="1"/>
  <c r="D13" i="9" s="1"/>
  <c r="D10" i="6"/>
  <c r="D12" i="6" s="1"/>
  <c r="D13" i="6" s="1"/>
  <c r="C20" i="9" l="1"/>
  <c r="C27" i="9" s="1"/>
  <c r="C15" i="9"/>
  <c r="C22" i="9" s="1"/>
  <c r="C17" i="9"/>
  <c r="C24" i="9" s="1"/>
  <c r="D13" i="10" s="1"/>
  <c r="C18" i="9"/>
  <c r="C25" i="9" s="1"/>
  <c r="D14" i="10" s="1"/>
  <c r="C16" i="9"/>
  <c r="C23" i="9" s="1"/>
  <c r="C19" i="9"/>
  <c r="C26" i="9" s="1"/>
  <c r="D15" i="10" s="1"/>
  <c r="D16" i="10"/>
  <c r="C15" i="5"/>
  <c r="C21" i="5"/>
  <c r="C19" i="5"/>
  <c r="C20" i="5" l="1"/>
  <c r="C14" i="5"/>
  <c r="C17" i="5"/>
  <c r="C1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<sst xmlns="http://schemas.openxmlformats.org/spreadsheetml/2006/main" count="113" uniqueCount="53">
  <si>
    <t>Survival Probability and Cumulative Risks of Subsequent Extracolonic Primary Cancers For Male Colorectal Cancer Survivors</t>
  </si>
  <si>
    <t>Characteristics</t>
  </si>
  <si>
    <t>Values</t>
  </si>
  <si>
    <t>Estimates</t>
  </si>
  <si>
    <t>Age at diagnosis of first index colorectal cancer</t>
  </si>
  <si>
    <t>Marital status</t>
  </si>
  <si>
    <t>Height in centimetre</t>
  </si>
  <si>
    <t>Self reported history of Diabetes</t>
  </si>
  <si>
    <t>First-degree family history of any cancer at extracolonic site</t>
  </si>
  <si>
    <t>Primary site of colorectal cancer</t>
  </si>
  <si>
    <t>Cigarette smoking (Pack-year)</t>
  </si>
  <si>
    <t>Presence of synchronous colorectal cancer</t>
  </si>
  <si>
    <t>Survival probability at 3 years</t>
  </si>
  <si>
    <t>Remark: Need to use the original baseline hazard to be the exactly same as the line graph</t>
  </si>
  <si>
    <t>Survival probability at 5 years</t>
  </si>
  <si>
    <t>Survival probability at 10 years</t>
  </si>
  <si>
    <t>Survival probability at 15 years</t>
  </si>
  <si>
    <t>Cumulative Risks at 3 years</t>
  </si>
  <si>
    <t>Cumulative Risks at 5 years</t>
  </si>
  <si>
    <t>Cumulative Risks at 10 years</t>
  </si>
  <si>
    <t>Cumulative Risks at 15 years</t>
  </si>
  <si>
    <r>
      <t xml:space="preserve">PREDICT Subsequent Primary Extracolonic Cancer For </t>
    </r>
    <r>
      <rPr>
        <b/>
        <sz val="22"/>
        <color rgb="FFFF0000"/>
        <rFont val="Aptos Narrow (Body)"/>
      </rPr>
      <t>Female</t>
    </r>
    <r>
      <rPr>
        <b/>
        <sz val="22"/>
        <color theme="3"/>
        <rFont val="Aptos Narrow"/>
        <family val="2"/>
        <scheme val="minor"/>
      </rPr>
      <t xml:space="preserve"> Colorectal Cancer Survivors</t>
    </r>
  </si>
  <si>
    <t xml:space="preserve">    </t>
  </si>
  <si>
    <t>Age at diagnosis of initial colorectal cancer</t>
  </si>
  <si>
    <t>Separated/Divorced/Widowed/Unknown</t>
  </si>
  <si>
    <t>Yes</t>
  </si>
  <si>
    <t xml:space="preserve"> </t>
  </si>
  <si>
    <t>Rectum</t>
  </si>
  <si>
    <t>No</t>
  </si>
  <si>
    <t>Extracolonic Cancer-free Survival</t>
  </si>
  <si>
    <t>3 years</t>
  </si>
  <si>
    <t>5 years</t>
  </si>
  <si>
    <t>10 years</t>
  </si>
  <si>
    <t>15 years</t>
  </si>
  <si>
    <t>Subsequent primary extracolonic cancer risk</t>
  </si>
  <si>
    <t>Currently married</t>
  </si>
  <si>
    <t>Proximal Colon</t>
  </si>
  <si>
    <t>Survival Probability and Cumulative Risks of Subsequent Extracolonic Primary Cancers For Female Colorectal Cancer Survivors</t>
  </si>
  <si>
    <t>Using Formula : λ_k(t) = λ_k0(t) * exp(β * X)</t>
  </si>
  <si>
    <t>Shrankage basecsh</t>
  </si>
  <si>
    <t>Survival probability at 1 years</t>
  </si>
  <si>
    <t>Using Formula : F_k(t) = 1 - exp(-∫₀ᵗ λ_k(u) du)</t>
  </si>
  <si>
    <t>Cumulative Risks at 1 years</t>
  </si>
  <si>
    <t>Race</t>
  </si>
  <si>
    <t>Marital Status</t>
  </si>
  <si>
    <t>Yesno</t>
  </si>
  <si>
    <t>Site</t>
  </si>
  <si>
    <t>White</t>
  </si>
  <si>
    <t>Single/Never married</t>
  </si>
  <si>
    <t>Non-White</t>
  </si>
  <si>
    <t>Distal Colon</t>
  </si>
  <si>
    <t>Unspecified site of colon</t>
  </si>
  <si>
    <t>More than one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</si>
</sst>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"/>
    <numFmt numFmtId="166" formatCode="0.0000%"/>
    <numFmt numFmtId="167" formatCode="0.00000"/>
  </numFmts>
  <fonts count="2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8"/>
      <color theme="1"/>
      <name val="Aptos Light"/>
    </font>
    <font>
      <sz val="14"/>
      <color theme="1"/>
      <name val="Aptos Light"/>
    </font>
    <font>
      <b/>
      <sz val="16"/>
      <color theme="0"/>
      <name val="Aptos Light"/>
    </font>
    <font>
      <sz val="16"/>
      <color theme="1"/>
      <name val="Aptos Light"/>
    </font>
    <font>
      <sz val="14"/>
      <name val="Aptos Light"/>
    </font>
    <font>
      <b/>
      <sz val="16"/>
      <name val="Aptos Light"/>
    </font>
    <font>
      <b/>
      <sz val="18"/>
      <color rgb="FFFF0000"/>
      <name val="Aptos Light"/>
    </font>
    <font>
      <sz val="18"/>
      <color rgb="FFFF0000"/>
      <name val="Aptos Light"/>
    </font>
    <font>
      <sz val="18"/>
      <color theme="1"/>
      <name val="Aptos Light"/>
    </font>
    <font>
      <b/>
      <sz val="18"/>
      <color theme="7"/>
      <name val="Aptos Light"/>
    </font>
    <font>
      <sz val="18"/>
      <color theme="7"/>
      <name val="Aptos Light"/>
    </font>
    <font>
      <b/>
      <sz val="18"/>
      <color theme="3"/>
      <name val="Aptos Narrow"/>
      <family val="2"/>
      <scheme val="minor"/>
    </font>
    <font>
      <b/>
      <sz val="22"/>
      <color theme="3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Aptos"/>
    </font>
    <font>
      <b/>
      <sz val="22"/>
      <color rgb="FFFF0000"/>
      <name val="Aptos Narrow (Body)"/>
    </font>
    <font>
      <sz val="14"/>
      <color theme="1"/>
      <name val="Aptos Narrow"/>
      <family val="2"/>
      <scheme val="minor"/>
    </font>
    <font>
      <b/>
      <sz val="14"/>
      <color theme="1"/>
      <name val="Aptos Light"/>
    </font>
    <font>
      <sz val="14"/>
      <color rgb="FFFF0000"/>
      <name val="Aptos Light"/>
    </font>
    <font>
      <b/>
      <sz val="14"/>
      <name val="Aptos Light"/>
    </font>
    <font>
      <sz val="12"/>
      <name val="Aptos Light"/>
    </font>
    <font>
      <b/>
      <sz val="16"/>
      <color theme="7"/>
      <name val="Aptos Light"/>
    </font>
    <font>
      <sz val="16"/>
      <color rgb="FFFF0000"/>
      <name val="Aptos Light"/>
    </font>
    <font>
      <sz val="12"/>
      <color theme="8"/>
      <name val="Aptos Light"/>
    </font>
    <font>
      <sz val="14"/>
      <color theme="8"/>
      <name val="Aptos Light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53">
    <xf numFmtId="0" fontId="0" fillId="0" borderId="0" xfId="0"/>
    <xf numFmtId="0" fontId="4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 readingOrder="1"/>
    </xf>
    <xf numFmtId="0" fontId="7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164" fontId="4" fillId="2" borderId="0" xfId="1" applyNumberFormat="1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164" fontId="10" fillId="2" borderId="0" xfId="1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164" fontId="13" fillId="2" borderId="0" xfId="1" applyNumberFormat="1" applyFont="1" applyFill="1" applyBorder="1" applyAlignment="1">
      <alignment horizontal="center" vertical="center"/>
    </xf>
    <xf numFmtId="0" fontId="14" fillId="2" borderId="0" xfId="2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4" fillId="0" borderId="0" xfId="2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 readingOrder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164" fontId="4" fillId="0" borderId="0" xfId="1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164" fontId="10" fillId="0" borderId="0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164" fontId="13" fillId="0" borderId="0" xfId="1" applyNumberFormat="1" applyFont="1" applyFill="1" applyBorder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17" fillId="0" borderId="0" xfId="0" applyFont="1"/>
    <xf numFmtId="166" fontId="10" fillId="0" borderId="0" xfId="1" applyNumberFormat="1" applyFont="1" applyFill="1" applyBorder="1" applyAlignment="1">
      <alignment horizontal="center" vertical="center"/>
    </xf>
    <xf numFmtId="0" fontId="19" fillId="0" borderId="0" xfId="0" applyFont="1"/>
    <xf numFmtId="167" fontId="4" fillId="0" borderId="0" xfId="0" applyNumberFormat="1" applyFont="1" applyAlignment="1">
      <alignment vertical="center"/>
    </xf>
    <xf numFmtId="165" fontId="20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  <xf numFmtId="0" fontId="4" fillId="2" borderId="0" xfId="0" applyFont="1" applyFill="1" applyAlignment="1">
      <alignment vertical="center" wrapText="1"/>
    </xf>
    <xf numFmtId="0" fontId="23" fillId="2" borderId="2" xfId="0" applyFont="1" applyFill="1" applyBorder="1" applyAlignment="1">
      <alignment horizontal="left" vertical="center" wrapText="1" readingOrder="1"/>
    </xf>
    <xf numFmtId="0" fontId="23" fillId="2" borderId="2" xfId="0" applyFont="1" applyFill="1" applyBorder="1" applyAlignment="1">
      <alignment vertical="center" wrapText="1" readingOrder="1"/>
    </xf>
    <xf numFmtId="0" fontId="22" fillId="3" borderId="0" xfId="0" applyFont="1" applyFill="1" applyAlignment="1">
      <alignment horizontal="left" vertical="center" wrapText="1" readingOrder="1"/>
    </xf>
    <xf numFmtId="0" fontId="22" fillId="3" borderId="0" xfId="0" applyFont="1" applyFill="1" applyAlignment="1">
      <alignment horizontal="center" vertical="center" wrapText="1"/>
    </xf>
    <xf numFmtId="0" fontId="24" fillId="2" borderId="0" xfId="0" applyFont="1" applyFill="1" applyAlignment="1">
      <alignment horizontal="center" vertical="center" wrapText="1"/>
    </xf>
    <xf numFmtId="0" fontId="24" fillId="2" borderId="0" xfId="0" applyFont="1" applyFill="1" applyAlignment="1">
      <alignment horizontal="right" vertical="center" wrapText="1"/>
    </xf>
    <xf numFmtId="164" fontId="25" fillId="2" borderId="0" xfId="1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 readingOrder="1"/>
    </xf>
    <xf numFmtId="0" fontId="7" fillId="2" borderId="2" xfId="0" applyFont="1" applyFill="1" applyBorder="1" applyAlignment="1">
      <alignment vertical="center" wrapText="1" readingOrder="1"/>
    </xf>
    <xf numFmtId="0" fontId="8" fillId="3" borderId="2" xfId="0" applyFont="1" applyFill="1" applyBorder="1" applyAlignment="1">
      <alignment horizontal="left" vertical="center" wrapText="1" readingOrder="1"/>
    </xf>
    <xf numFmtId="0" fontId="8" fillId="3" borderId="2" xfId="0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12" fillId="2" borderId="0" xfId="0" applyFont="1" applyFill="1" applyAlignment="1">
      <alignment horizontal="right" vertical="center"/>
    </xf>
    <xf numFmtId="0" fontId="26" fillId="2" borderId="2" xfId="0" applyFont="1" applyFill="1" applyBorder="1" applyAlignment="1" applyProtection="1">
      <alignment horizontal="center" vertical="center" wrapText="1"/>
      <protection locked="0"/>
    </xf>
    <xf numFmtId="0" fontId="15" fillId="0" borderId="1" xfId="2" applyFont="1" applyFill="1" applyAlignment="1">
      <alignment horizontal="center" vertical="center" wrapText="1"/>
    </xf>
    <xf numFmtId="0" fontId="15" fillId="2" borderId="1" xfId="2" applyFont="1" applyFill="1" applyAlignment="1">
      <alignment horizontal="center" vertical="center" wrapText="1"/>
    </xf>
  </cellXfs>
  <cellStyles count="3">
    <cellStyle name="Heading 1" xfId="2" builtinId="1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Origin_Women_FG!$A$22:$A$27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Origin_Women_FG!$C$22:$C$27</c:f>
              <c:numCache>
                <c:formatCode>0.0%</c:formatCode>
                <c:ptCount val="6"/>
                <c:pt idx="0">
                  <c:v>0</c:v>
                </c:pt>
                <c:pt idx="1">
                  <c:v>1.5326387304819167E-2</c:v>
                </c:pt>
                <c:pt idx="2">
                  <c:v>6.5463117957024197E-2</c:v>
                </c:pt>
                <c:pt idx="3">
                  <c:v>9.0286203475536952E-2</c:v>
                </c:pt>
                <c:pt idx="4">
                  <c:v>0.16473679222836957</c:v>
                </c:pt>
                <c:pt idx="5">
                  <c:v>0.27954234818137214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EC-7C47-B1B6-D3F4CDF66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536432"/>
        <c:axId val="919331168"/>
      </c:scatterChart>
      <c:valAx>
        <c:axId val="919536432"/>
        <c:scaling>
          <c:orientation val="minMax"/>
          <c:max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Years from diagnosis</a:t>
                </a:r>
                <a:r>
                  <a:rPr lang="en-US" sz="1100" b="1" baseline="0"/>
                  <a:t> of initial colorectal cancer</a:t>
                </a:r>
                <a:endParaRPr lang="en-US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919331168"/>
        <c:crosses val="autoZero"/>
        <c:crossBetween val="midCat"/>
        <c:majorUnit val="1"/>
      </c:valAx>
      <c:valAx>
        <c:axId val="919331168"/>
        <c:scaling>
          <c:orientation val="minMax"/>
          <c:max val="0.6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Risk of Subsequent Primary Extracolonic Cancer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91953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Origin_Women_FG!$A$22:$A$27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Origin_Women_FG!$C$22:$C$27</c:f>
              <c:numCache>
                <c:formatCode>0.0%</c:formatCode>
                <c:ptCount val="6"/>
                <c:pt idx="0">
                  <c:v>0</c:v>
                </c:pt>
                <c:pt idx="1">
                  <c:v>1.5326387304819167E-2</c:v>
                </c:pt>
                <c:pt idx="2">
                  <c:v>6.5463117957024197E-2</c:v>
                </c:pt>
                <c:pt idx="3">
                  <c:v>9.0286203475536952E-2</c:v>
                </c:pt>
                <c:pt idx="4">
                  <c:v>0.16473679222836957</c:v>
                </c:pt>
                <c:pt idx="5">
                  <c:v>0.27954234818137214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3D-B348-AE93-F6A065B7D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536432"/>
        <c:axId val="919331168"/>
      </c:scatterChart>
      <c:valAx>
        <c:axId val="919536432"/>
        <c:scaling>
          <c:orientation val="minMax"/>
          <c:max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Years from diagnosis</a:t>
                </a:r>
                <a:r>
                  <a:rPr lang="en-US" b="1" baseline="0"/>
                  <a:t> of initial colorectal cancer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919331168"/>
        <c:crosses val="autoZero"/>
        <c:crossBetween val="midCat"/>
        <c:majorUnit val="1"/>
      </c:valAx>
      <c:valAx>
        <c:axId val="919331168"/>
        <c:scaling>
          <c:orientation val="minMax"/>
          <c:max val="0.6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Cumulative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91953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1041400</xdr:colOff>
      <xdr:row>0</xdr:row>
      <xdr:rowOff>38100</xdr:rowOff>
    </xdr:from>
    <xdr:to>
      <xdr:col>0</xdr:col>
      <xdr:colOff>2235200</xdr:colOff>
      <xdr:row>1</xdr:row>
      <xdr:rowOff>25400</xdr:rowOff>
    </xdr:to>
    <xdr:pic>
      <xdr:nvPicPr>
        <xdr:cNvPr id="3" name="Picture 2" descr="Predicting - Free business and finance icons">
          <a:extLst>
            <a:ext uri="{FF2B5EF4-FFF2-40B4-BE49-F238E27FC236}">
              <a16:creationId xmlns:a16="http://schemas.microsoft.com/office/drawing/2014/main" id="{4661F257-E4AC-6C42-8F14-D6D706580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38100"/>
          <a:ext cx="1193800" cy="119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0</xdr:row>
      <xdr:rowOff>38100</xdr:rowOff>
    </xdr:from>
    <xdr:to>
      <xdr:col>1</xdr:col>
      <xdr:colOff>1219200</xdr:colOff>
      <xdr:row>1</xdr:row>
      <xdr:rowOff>25400</xdr:rowOff>
    </xdr:to>
    <xdr:pic>
      <xdr:nvPicPr>
        <xdr:cNvPr id="3" name="Picture 2" descr="Predicting - Free business and finance icons">
          <a:extLst>
            <a:ext uri="{FF2B5EF4-FFF2-40B4-BE49-F238E27FC236}">
              <a16:creationId xmlns:a16="http://schemas.microsoft.com/office/drawing/2014/main" id="{CB84BADE-3093-EB49-9AA9-AC2111F49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38100"/>
          <a:ext cx="1193800" cy="119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532868</xdr:colOff>
      <xdr:row>15</xdr:row>
      <xdr:rowOff>355244</xdr:rowOff>
    </xdr:from>
    <xdr:to>
      <xdr:col>3</xdr:col>
      <xdr:colOff>1314407</xdr:colOff>
      <xdr:row>28</xdr:row>
      <xdr:rowOff>213146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A5BF27-53C5-4740-9630-5019EFBBB3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19</xdr:row>
      <xdr:rowOff>177800</xdr:rowOff>
    </xdr:from>
    <xdr:to>
      <xdr:col>7</xdr:col>
      <xdr:colOff>647700</xdr:colOff>
      <xdr:row>29</xdr:row>
      <xdr:rowOff>203200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FC859D-DA63-3146-AFDD-19C8CF0F4D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6087-DAA1-CA4F-9883-33504438DAD9}">
  <dimension ref="B1:G22"/>
  <sheetViews>
    <sheetView topLeftCell="A2" workbookViewId="0">
      <selection activeCell="C22" sqref="C22"/>
    </sheetView>
  </sheetViews>
  <sheetFormatPr defaultColWidth="10.875" defaultRowHeight="18.95"/>
  <cols>
    <col min="1" max="1" width="10.375" style="1" customWidth="1"/>
    <col min="2" max="2" width="63.5" style="1" customWidth="1"/>
    <col min="3" max="3" width="41.5" style="1" customWidth="1"/>
    <col min="4" max="4" width="22.625" style="1" customWidth="1"/>
    <col min="5" max="5" width="21.875" style="1" customWidth="1"/>
    <col min="6" max="6" width="23" style="1" customWidth="1"/>
    <col min="7" max="16384" width="10.875" style="1"/>
  </cols>
  <sheetData>
    <row r="1" spans="2:7" ht="95.1" customHeight="1" thickBot="1">
      <c r="B1" s="51" t="s">
        <v>0</v>
      </c>
      <c r="C1" s="51"/>
      <c r="D1" s="13"/>
    </row>
    <row r="2" spans="2:7" ht="42" customHeight="1" thickTop="1">
      <c r="B2" s="14"/>
      <c r="C2" s="14"/>
      <c r="D2" s="13"/>
    </row>
    <row r="3" spans="2:7" s="15" customFormat="1" ht="33.950000000000003" customHeight="1">
      <c r="B3" s="16" t="s">
        <v>1</v>
      </c>
      <c r="C3" s="17" t="s">
        <v>2</v>
      </c>
      <c r="D3" s="18" t="s">
        <v>3</v>
      </c>
    </row>
    <row r="4" spans="2:7" ht="32.1" customHeight="1">
      <c r="B4" s="2" t="s">
        <v>4</v>
      </c>
      <c r="C4" s="3">
        <f>'PREDICT Form_Women_Cox'!C4</f>
        <v>72</v>
      </c>
      <c r="D4" s="19">
        <f>0.098389 *(($C$4/5)-10.47441)</f>
        <v>0.38623487450999999</v>
      </c>
      <c r="E4" s="19"/>
      <c r="F4" s="19"/>
      <c r="G4" s="20"/>
    </row>
    <row r="5" spans="2:7" ht="32.1" customHeight="1">
      <c r="B5" s="2" t="s">
        <v>5</v>
      </c>
      <c r="C5" s="3" t="str">
        <f>'PREDICT Form_Women_Cox'!C5</f>
        <v>Separated/Divorced/Widowed/Unknown</v>
      </c>
      <c r="D5" s="19" cm="1">
        <f t="array" ref="D5">_xlfn.IFS($C$5="Single/Never married", (1*0), $C$5="Currently married",  (1*0), $C$5="Separated/Divorced/Widowed/Unknown", (1*-0.3505742))</f>
        <v>-0.3505742</v>
      </c>
      <c r="E5" s="19"/>
      <c r="F5" s="19"/>
      <c r="G5" s="20"/>
    </row>
    <row r="6" spans="2:7" ht="32.1" customHeight="1">
      <c r="B6" s="31" t="s">
        <v>6</v>
      </c>
      <c r="C6" s="3">
        <f>'PREDICT Form_Women_Cox'!C6</f>
        <v>162</v>
      </c>
      <c r="D6" s="19">
        <f>0.219489*(($C$6/10)-16.41027)</f>
        <v>-4.6151952030000283E-2</v>
      </c>
      <c r="E6" s="19"/>
      <c r="F6" s="19"/>
    </row>
    <row r="7" spans="2:7" ht="32.1" customHeight="1">
      <c r="B7" s="31" t="s">
        <v>7</v>
      </c>
      <c r="C7" s="3" t="str">
        <f>'PREDICT Form_Women_Cox'!C7</f>
        <v>Yes</v>
      </c>
      <c r="D7" s="19">
        <f>0.510991 * IF($C$7="Yes", 1, 0)</f>
        <v>0.51099099999999997</v>
      </c>
      <c r="E7" s="19"/>
      <c r="F7" s="19"/>
      <c r="G7" s="20"/>
    </row>
    <row r="8" spans="2:7" ht="32.1" customHeight="1">
      <c r="B8" s="31" t="s">
        <v>8</v>
      </c>
      <c r="C8" s="3" t="str">
        <f>'PREDICT Form_Women_Cox'!C8</f>
        <v>Yes</v>
      </c>
      <c r="D8" s="19">
        <f>0.3680455 * IF($C$8="Yes", 1, 0)</f>
        <v>0.36804550000000003</v>
      </c>
      <c r="E8" s="19"/>
      <c r="F8" s="19"/>
      <c r="G8" s="20"/>
    </row>
    <row r="9" spans="2:7" ht="32.1" customHeight="1">
      <c r="B9" s="31" t="s">
        <v>9</v>
      </c>
      <c r="C9" s="3" t="str">
        <f>'PREDICT Form_Women_Cox'!C9</f>
        <v>Rectum</v>
      </c>
      <c r="D9" s="19" cm="1">
        <f t="array" ref="D9">_xlfn.IFS($C$9="Proximal Colon", (1*0), $C$9="Distal Colon",  (1*0), $C$9="Unspecified site of colon", (1*0),  $C$9="More than one site", (1*19.34289), $C$9="Rectum", (1*0))</f>
        <v>0</v>
      </c>
      <c r="E9" s="19"/>
      <c r="F9" s="19"/>
      <c r="G9" s="20"/>
    </row>
    <row r="10" spans="2:7" ht="32.1" customHeight="1">
      <c r="B10" s="31" t="s">
        <v>10</v>
      </c>
      <c r="C10" s="3">
        <f>'PREDICT Form_Women_Cox'!C10</f>
        <v>81</v>
      </c>
      <c r="D10" s="19">
        <f>0.1956504 * ($C$10/12)</f>
        <v>1.3206401999999999</v>
      </c>
      <c r="E10" s="19"/>
      <c r="F10" s="19"/>
    </row>
    <row r="11" spans="2:7" ht="32.1" customHeight="1">
      <c r="B11" s="31" t="s">
        <v>11</v>
      </c>
      <c r="C11" s="3" t="str">
        <f>'PREDICT Form_Women_Cox'!C11</f>
        <v>No</v>
      </c>
      <c r="D11" s="19">
        <f>-18.73031 * IF($C$11="Yes", 1, 0)</f>
        <v>0</v>
      </c>
      <c r="E11" s="19"/>
      <c r="F11" s="19"/>
    </row>
    <row r="12" spans="2:7">
      <c r="B12"/>
      <c r="C12"/>
      <c r="D12" s="32">
        <f>SUM(D4:D11)</f>
        <v>2.1891854224799996</v>
      </c>
      <c r="E12" s="19"/>
      <c r="F12" s="19"/>
    </row>
    <row r="13" spans="2:7">
      <c r="D13" s="32">
        <f>0.81880271 * D12</f>
        <v>1.7925109566191186</v>
      </c>
      <c r="E13" s="19"/>
      <c r="F13" s="19"/>
    </row>
    <row r="14" spans="2:7" ht="29.1" customHeight="1">
      <c r="B14" s="21" t="s">
        <v>12</v>
      </c>
      <c r="C14" s="22">
        <f>0.9861765^EXP(D13)</f>
        <v>0.91981529683589991</v>
      </c>
      <c r="D14" s="34" t="s">
        <v>13</v>
      </c>
      <c r="E14" s="30"/>
      <c r="F14" s="30"/>
    </row>
    <row r="15" spans="2:7" ht="29.1" customHeight="1">
      <c r="B15" s="21" t="s">
        <v>14</v>
      </c>
      <c r="C15" s="22">
        <f>0.9799129^EXP(D13)</f>
        <v>0.88528906469087176</v>
      </c>
      <c r="E15" s="30"/>
      <c r="F15" s="30"/>
    </row>
    <row r="16" spans="2:7" ht="29.1" customHeight="1">
      <c r="B16" s="21" t="s">
        <v>15</v>
      </c>
      <c r="C16" s="22">
        <f>0.9578457^EXP(D13)</f>
        <v>0.77212738340485354</v>
      </c>
      <c r="E16" s="30"/>
      <c r="F16" s="30"/>
    </row>
    <row r="17" spans="2:6" ht="29.1" customHeight="1">
      <c r="B17" s="21" t="s">
        <v>16</v>
      </c>
      <c r="C17" s="22">
        <f>0.915567^EXP(D13)</f>
        <v>0.58880024793852381</v>
      </c>
      <c r="E17" s="30"/>
      <c r="F17" s="30"/>
    </row>
    <row r="18" spans="2:6" ht="29.1" customHeight="1">
      <c r="B18" s="23"/>
      <c r="C18" s="24"/>
    </row>
    <row r="19" spans="2:6" ht="29.1" customHeight="1">
      <c r="B19" s="25" t="s">
        <v>17</v>
      </c>
      <c r="C19" s="26">
        <f>1-C14</f>
        <v>8.0184703164100091E-2</v>
      </c>
    </row>
    <row r="20" spans="2:6" ht="29.1" customHeight="1">
      <c r="B20" s="25" t="s">
        <v>18</v>
      </c>
      <c r="C20" s="26">
        <f>1-C15</f>
        <v>0.11471093530912824</v>
      </c>
    </row>
    <row r="21" spans="2:6" ht="29.1" customHeight="1">
      <c r="B21" s="25" t="s">
        <v>19</v>
      </c>
      <c r="C21" s="26">
        <f>1-C16</f>
        <v>0.22787261659514646</v>
      </c>
    </row>
    <row r="22" spans="2:6" ht="29.1" customHeight="1">
      <c r="B22" s="25" t="s">
        <v>20</v>
      </c>
      <c r="C22" s="26">
        <f>1-C17</f>
        <v>0.41119975206147619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D185-CBF0-0540-8B96-878B9DBF716F}">
  <dimension ref="B1:F22"/>
  <sheetViews>
    <sheetView zoomScaleNormal="75" zoomScaleSheetLayoutView="83" workbookViewId="0">
      <selection activeCell="B13" sqref="B13:B22"/>
    </sheetView>
  </sheetViews>
  <sheetFormatPr defaultColWidth="10.875" defaultRowHeight="18.95"/>
  <cols>
    <col min="1" max="1" width="30.125" style="4" customWidth="1"/>
    <col min="2" max="2" width="78.625" style="4" customWidth="1"/>
    <col min="3" max="3" width="41.375" style="4" customWidth="1"/>
    <col min="4" max="4" width="31.375" style="4" customWidth="1"/>
    <col min="5" max="5" width="29.625" style="4" customWidth="1"/>
    <col min="6" max="16384" width="10.875" style="4"/>
  </cols>
  <sheetData>
    <row r="1" spans="2:6" ht="95.1" customHeight="1" thickBot="1">
      <c r="B1" s="52" t="s">
        <v>21</v>
      </c>
      <c r="C1" s="52"/>
    </row>
    <row r="2" spans="2:6" ht="42" customHeight="1" thickTop="1">
      <c r="B2" s="12"/>
      <c r="C2" s="12"/>
    </row>
    <row r="3" spans="2:6" s="5" customFormat="1" ht="33.950000000000003" customHeight="1">
      <c r="B3" s="45" t="s">
        <v>1</v>
      </c>
      <c r="C3" s="46" t="s">
        <v>2</v>
      </c>
      <c r="D3"/>
      <c r="E3" s="5" t="s">
        <v>22</v>
      </c>
    </row>
    <row r="4" spans="2:6" ht="32.1" customHeight="1">
      <c r="B4" s="43" t="s">
        <v>23</v>
      </c>
      <c r="C4" s="47">
        <v>72</v>
      </c>
      <c r="F4" s="6"/>
    </row>
    <row r="5" spans="2:6" ht="32.1" customHeight="1">
      <c r="B5" s="43" t="s">
        <v>5</v>
      </c>
      <c r="C5" s="47" t="s">
        <v>24</v>
      </c>
      <c r="F5" s="6"/>
    </row>
    <row r="6" spans="2:6" ht="32.1" customHeight="1">
      <c r="B6" s="43" t="s">
        <v>6</v>
      </c>
      <c r="C6" s="47">
        <v>162</v>
      </c>
      <c r="D6"/>
    </row>
    <row r="7" spans="2:6" ht="32.1" customHeight="1">
      <c r="B7" s="44" t="s">
        <v>7</v>
      </c>
      <c r="C7" s="47" t="s">
        <v>25</v>
      </c>
      <c r="F7" s="6"/>
    </row>
    <row r="8" spans="2:6" ht="32.1" customHeight="1">
      <c r="B8" s="44" t="s">
        <v>8</v>
      </c>
      <c r="C8" s="47" t="s">
        <v>25</v>
      </c>
      <c r="E8" s="4" t="s">
        <v>26</v>
      </c>
      <c r="F8" s="6"/>
    </row>
    <row r="9" spans="2:6" ht="32.1" customHeight="1">
      <c r="B9" s="43" t="s">
        <v>9</v>
      </c>
      <c r="C9" s="47" t="s">
        <v>27</v>
      </c>
      <c r="F9" s="6"/>
    </row>
    <row r="10" spans="2:6" ht="32.1" customHeight="1">
      <c r="B10" s="43" t="s">
        <v>10</v>
      </c>
      <c r="C10" s="47">
        <v>81</v>
      </c>
    </row>
    <row r="11" spans="2:6" ht="32.1" customHeight="1">
      <c r="B11" s="43" t="s">
        <v>11</v>
      </c>
      <c r="C11" s="47" t="s">
        <v>28</v>
      </c>
    </row>
    <row r="13" spans="2:6" ht="24">
      <c r="B13" s="7" t="s">
        <v>29</v>
      </c>
    </row>
    <row r="14" spans="2:6" ht="24">
      <c r="B14" s="48" t="s">
        <v>30</v>
      </c>
      <c r="C14" s="8">
        <f>Origin_Women_Cox!C14</f>
        <v>0.91981529683589991</v>
      </c>
    </row>
    <row r="15" spans="2:6" ht="29.1" customHeight="1">
      <c r="B15" s="48" t="s">
        <v>31</v>
      </c>
      <c r="C15" s="8">
        <f>Origin_Women_Cox!C15</f>
        <v>0.88528906469087176</v>
      </c>
    </row>
    <row r="16" spans="2:6" ht="29.1" customHeight="1">
      <c r="B16" s="48" t="s">
        <v>32</v>
      </c>
      <c r="C16" s="8">
        <f>Origin_Women_Cox!C16</f>
        <v>0.77212738340485354</v>
      </c>
    </row>
    <row r="17" spans="2:3" ht="29.1" customHeight="1">
      <c r="B17" s="48" t="s">
        <v>33</v>
      </c>
      <c r="C17" s="8">
        <f>Origin_Women_Cox!C17</f>
        <v>0.58880024793852381</v>
      </c>
    </row>
    <row r="18" spans="2:3" ht="29.1" customHeight="1">
      <c r="B18" s="10" t="s">
        <v>34</v>
      </c>
      <c r="C18" s="9"/>
    </row>
    <row r="19" spans="2:3" ht="29.1" customHeight="1">
      <c r="B19" s="49" t="s">
        <v>30</v>
      </c>
      <c r="C19" s="11">
        <f>Origin_Women_Cox!C19</f>
        <v>8.0184703164100091E-2</v>
      </c>
    </row>
    <row r="20" spans="2:3" ht="29.1" customHeight="1">
      <c r="B20" s="49" t="s">
        <v>31</v>
      </c>
      <c r="C20" s="11">
        <f>Origin_Women_Cox!C20</f>
        <v>0.11471093530912824</v>
      </c>
    </row>
    <row r="21" spans="2:3" ht="29.1" customHeight="1">
      <c r="B21" s="49" t="s">
        <v>32</v>
      </c>
      <c r="C21" s="11">
        <f>Origin_Women_Cox!C21</f>
        <v>0.22787261659514646</v>
      </c>
    </row>
    <row r="22" spans="2:3" ht="29.1" customHeight="1">
      <c r="B22" s="49" t="s">
        <v>33</v>
      </c>
      <c r="C22" s="11">
        <f>Origin_Women_Cox!C22</f>
        <v>0.41119975206147619</v>
      </c>
    </row>
  </sheetData>
  <mergeCells count="1">
    <mergeCell ref="B1:C1"/>
  </mergeCells>
  <phoneticPr fontId="28" type="noConversion"/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CA7F09E-7BCE-BE45-B286-8330BAE5F6BA}">
          <x14:formula1>
            <xm:f>List!$D$2:$D$6</xm:f>
          </x14:formula1>
          <xm:sqref>C9</xm:sqref>
        </x14:dataValidation>
        <x14:dataValidation type="list" allowBlank="1" showInputMessage="1" showErrorMessage="1" xr:uid="{5BA233FD-B69A-9841-BD43-7B6428553AA4}">
          <x14:formula1>
            <xm:f>List!$C$2:$C$3</xm:f>
          </x14:formula1>
          <xm:sqref>C7:C8 C11</xm:sqref>
        </x14:dataValidation>
        <x14:dataValidation type="list" allowBlank="1" showInputMessage="1" showErrorMessage="1" xr:uid="{FEEC505C-AE6E-FA46-B1CA-3273BC485AD3}">
          <x14:formula1>
            <xm:f>List!$B$2:$B$4</xm:f>
          </x14:formula1>
          <xm:sqref>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5246-1AF0-0045-9DB2-6A58639F4CAC}">
  <dimension ref="B1:G16"/>
  <sheetViews>
    <sheetView showRowColHeaders="0" tabSelected="1" zoomScaleNormal="100" zoomScaleSheetLayoutView="83" workbookViewId="0">
      <selection activeCell="F7" sqref="F7"/>
    </sheetView>
  </sheetViews>
  <sheetFormatPr defaultColWidth="10.875" defaultRowHeight="18.95"/>
  <cols>
    <col min="1" max="1" width="10.875" style="4"/>
    <col min="2" max="2" width="16.125" style="4" customWidth="1"/>
    <col min="3" max="3" width="71.125" style="4" customWidth="1"/>
    <col min="4" max="4" width="27.5" style="35" customWidth="1"/>
    <col min="5" max="5" width="18.125" style="4" customWidth="1"/>
    <col min="6" max="6" width="29.625" style="4" customWidth="1"/>
    <col min="7" max="16384" width="10.875" style="4"/>
  </cols>
  <sheetData>
    <row r="1" spans="2:7" ht="95.1" customHeight="1" thickBot="1">
      <c r="C1" s="52" t="s">
        <v>21</v>
      </c>
      <c r="D1" s="52"/>
    </row>
    <row r="2" spans="2:7" ht="21" customHeight="1" thickTop="1">
      <c r="C2" s="12"/>
      <c r="D2" s="12"/>
    </row>
    <row r="3" spans="2:7" s="5" customFormat="1" ht="33.950000000000003" customHeight="1">
      <c r="B3" s="4"/>
      <c r="C3" s="38" t="s">
        <v>1</v>
      </c>
      <c r="D3" s="39" t="s">
        <v>2</v>
      </c>
      <c r="E3"/>
      <c r="F3" s="5" t="s">
        <v>22</v>
      </c>
    </row>
    <row r="4" spans="2:7" ht="26.1" customHeight="1">
      <c r="C4" s="36" t="s">
        <v>23</v>
      </c>
      <c r="D4" s="50">
        <v>65</v>
      </c>
      <c r="G4" s="6"/>
    </row>
    <row r="5" spans="2:7" ht="36" customHeight="1">
      <c r="C5" s="36" t="s">
        <v>5</v>
      </c>
      <c r="D5" s="50" t="s">
        <v>35</v>
      </c>
      <c r="G5" s="6"/>
    </row>
    <row r="6" spans="2:7" ht="26.1" customHeight="1">
      <c r="C6" s="36" t="s">
        <v>6</v>
      </c>
      <c r="D6" s="50">
        <v>175</v>
      </c>
      <c r="E6"/>
    </row>
    <row r="7" spans="2:7" ht="26.1" customHeight="1">
      <c r="C7" s="37" t="s">
        <v>7</v>
      </c>
      <c r="D7" s="50" t="s">
        <v>28</v>
      </c>
      <c r="G7" s="6"/>
    </row>
    <row r="8" spans="2:7" ht="26.1" customHeight="1">
      <c r="C8" s="37" t="s">
        <v>8</v>
      </c>
      <c r="D8" s="50" t="s">
        <v>25</v>
      </c>
      <c r="F8" s="4" t="s">
        <v>26</v>
      </c>
      <c r="G8" s="6"/>
    </row>
    <row r="9" spans="2:7" ht="26.1" customHeight="1">
      <c r="C9" s="36" t="s">
        <v>9</v>
      </c>
      <c r="D9" s="50" t="s">
        <v>36</v>
      </c>
      <c r="G9" s="6"/>
    </row>
    <row r="10" spans="2:7" ht="26.1" customHeight="1">
      <c r="C10" s="36" t="s">
        <v>10</v>
      </c>
      <c r="D10" s="50">
        <v>50</v>
      </c>
    </row>
    <row r="11" spans="2:7" ht="26.1" customHeight="1">
      <c r="C11" s="36" t="s">
        <v>11</v>
      </c>
      <c r="D11" s="50" t="s">
        <v>28</v>
      </c>
    </row>
    <row r="12" spans="2:7" ht="23.1">
      <c r="C12" s="40" t="s">
        <v>34</v>
      </c>
    </row>
    <row r="13" spans="2:7" ht="38.1" customHeight="1">
      <c r="C13" s="41" t="s">
        <v>30</v>
      </c>
      <c r="D13" s="42">
        <f>Origin_Women_FG!C24</f>
        <v>6.5463117957024197E-2</v>
      </c>
    </row>
    <row r="14" spans="2:7" ht="38.1" customHeight="1">
      <c r="C14" s="41" t="s">
        <v>31</v>
      </c>
      <c r="D14" s="42">
        <f>Origin_Women_FG!C25</f>
        <v>9.0286203475536952E-2</v>
      </c>
    </row>
    <row r="15" spans="2:7" ht="38.1" customHeight="1">
      <c r="C15" s="41" t="s">
        <v>32</v>
      </c>
      <c r="D15" s="42">
        <f>Origin_Women_FG!C26</f>
        <v>0.16473679222836957</v>
      </c>
    </row>
    <row r="16" spans="2:7" ht="38.1" customHeight="1">
      <c r="C16" s="41" t="s">
        <v>33</v>
      </c>
      <c r="D16" s="42">
        <f>Origin_Women_FG!C27</f>
        <v>0.27954234818137214</v>
      </c>
    </row>
  </sheetData>
  <sheetProtection algorithmName="SHA-512" hashValue="XjiQZRTe+/kiDRPmL9sIpzhbRNj9ISjcPPx1Otk8xiARyXoLbvyTpm7j4wxArayxIBq7Xs7QsGSZ2coephnqzg==" saltValue="mHd2WXfUpRZWZfRB9NJjqw==" spinCount="100000" sheet="1" objects="1" scenarios="1"/>
  <mergeCells count="1">
    <mergeCell ref="C1:D1"/>
  </mergeCells>
  <pageMargins left="0.25" right="0.25" top="0.75" bottom="0.75" header="0.3" footer="0.3"/>
  <pageSetup paperSize="9" orientation="landscape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CE70FC1-5943-6845-A3B4-3DF92923F0C8}">
          <x14:formula1>
            <xm:f>List!$B$2:$B$4</xm:f>
          </x14:formula1>
          <xm:sqref>D5</xm:sqref>
        </x14:dataValidation>
        <x14:dataValidation type="list" allowBlank="1" showInputMessage="1" showErrorMessage="1" xr:uid="{D37ABD5A-F092-0046-B453-A4D52C178232}">
          <x14:formula1>
            <xm:f>List!$C$2:$C$3</xm:f>
          </x14:formula1>
          <xm:sqref>D7:D8 D11</xm:sqref>
        </x14:dataValidation>
        <x14:dataValidation type="list" allowBlank="1" showInputMessage="1" showErrorMessage="1" xr:uid="{B68F4E46-E6FE-374C-BBEC-FCBB2B36206C}">
          <x14:formula1>
            <xm:f>List!$D$2:$D$6</xm:f>
          </x14:formula1>
          <xm:sqref>D9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F679-904D-7849-B387-D3F4B7E99B24}">
  <dimension ref="A1:G27"/>
  <sheetViews>
    <sheetView topLeftCell="A7" workbookViewId="0">
      <selection activeCell="A23" sqref="A23"/>
    </sheetView>
  </sheetViews>
  <sheetFormatPr defaultColWidth="10.875" defaultRowHeight="18.95"/>
  <cols>
    <col min="1" max="1" width="10.375" style="1" customWidth="1"/>
    <col min="2" max="2" width="63.5" style="1" customWidth="1"/>
    <col min="3" max="3" width="41.5" style="1" customWidth="1"/>
    <col min="4" max="4" width="22.625" style="1" customWidth="1"/>
    <col min="5" max="5" width="21.875" style="1" customWidth="1"/>
    <col min="6" max="6" width="23" style="1" customWidth="1"/>
    <col min="7" max="16384" width="10.875" style="1"/>
  </cols>
  <sheetData>
    <row r="1" spans="2:7" ht="95.1" customHeight="1" thickBot="1">
      <c r="B1" s="51" t="s">
        <v>37</v>
      </c>
      <c r="C1" s="51"/>
      <c r="D1" s="13"/>
    </row>
    <row r="2" spans="2:7" ht="42" customHeight="1" thickTop="1">
      <c r="B2" s="14"/>
      <c r="C2" s="14"/>
      <c r="D2" s="13"/>
    </row>
    <row r="3" spans="2:7" s="15" customFormat="1" ht="33.950000000000003" customHeight="1">
      <c r="B3" s="16" t="s">
        <v>1</v>
      </c>
      <c r="C3" s="17" t="s">
        <v>2</v>
      </c>
      <c r="D3" s="18" t="s">
        <v>3</v>
      </c>
    </row>
    <row r="4" spans="2:7" ht="32.1" customHeight="1">
      <c r="B4" s="2" t="s">
        <v>4</v>
      </c>
      <c r="C4" s="3">
        <f>'PREDICT Form_Women_FG'!D4</f>
        <v>65</v>
      </c>
      <c r="D4" s="19">
        <f>0.0838754 *(($C$4/5)-10.47441)</f>
        <v>0.21183487148599994</v>
      </c>
      <c r="E4" s="19"/>
      <c r="F4" s="19"/>
      <c r="G4" s="20"/>
    </row>
    <row r="5" spans="2:7" ht="32.1" customHeight="1">
      <c r="B5" s="2" t="s">
        <v>5</v>
      </c>
      <c r="C5" s="3" t="str">
        <f>'PREDICT Form_Women_FG'!D5</f>
        <v>Currently married</v>
      </c>
      <c r="D5" s="19" cm="1">
        <f t="array" ref="D5">_xlfn.IFS($C$5="Single/Never married", (1*0), $C$5="Currently married",  (1*0), $C$5="Separated/Divorced/Widowed/Unknown", (1*-0.4459435))</f>
        <v>0</v>
      </c>
      <c r="E5" s="19"/>
      <c r="F5" s="19"/>
      <c r="G5" s="20"/>
    </row>
    <row r="6" spans="2:7" ht="32.1" customHeight="1">
      <c r="B6" s="31" t="s">
        <v>6</v>
      </c>
      <c r="C6" s="3">
        <f>'PREDICT Form_Women_FG'!D6</f>
        <v>175</v>
      </c>
      <c r="D6" s="19">
        <f>0.1861444*(($C$6/10)-16.41027)</f>
        <v>0.20284713701199988</v>
      </c>
      <c r="E6" s="19"/>
      <c r="F6" s="19"/>
    </row>
    <row r="7" spans="2:7" ht="32.1" customHeight="1">
      <c r="B7" s="31" t="s">
        <v>7</v>
      </c>
      <c r="C7" s="3" t="str">
        <f>'PREDICT Form_Women_FG'!D7</f>
        <v>No</v>
      </c>
      <c r="D7" s="19">
        <f>0.3031011 * IF($C$7="Yes", 1, 0)</f>
        <v>0</v>
      </c>
      <c r="E7" s="19"/>
      <c r="F7" s="19"/>
      <c r="G7" s="20"/>
    </row>
    <row r="8" spans="2:7" ht="32.1" customHeight="1">
      <c r="B8" s="31" t="s">
        <v>8</v>
      </c>
      <c r="C8" s="3" t="str">
        <f>'PREDICT Form_Women_FG'!D8</f>
        <v>Yes</v>
      </c>
      <c r="D8" s="19">
        <f>0.4517673 * IF($C$8="Yes", 1, 0)</f>
        <v>0.45176729999999998</v>
      </c>
      <c r="E8" s="19"/>
      <c r="F8" s="19"/>
      <c r="G8" s="20"/>
    </row>
    <row r="9" spans="2:7" ht="32.1" customHeight="1">
      <c r="B9" s="31" t="s">
        <v>9</v>
      </c>
      <c r="C9" s="3" t="str">
        <f>'PREDICT Form_Women_FG'!D9</f>
        <v>Proximal Colon</v>
      </c>
      <c r="D9" s="19" cm="1">
        <f t="array" ref="D9">_xlfn.IFS($C$9="Proximal Colon", (1*0), $C$9="Distal Colon",  (1*0), $C$9="Unspecified site of colon", (1*0),  $C$9="More than one site", (1*14.01857), $C$9="Rectum", (1*0))</f>
        <v>0</v>
      </c>
      <c r="E9" s="19"/>
      <c r="F9" s="19"/>
      <c r="G9" s="20"/>
    </row>
    <row r="10" spans="2:7" ht="32.1" customHeight="1">
      <c r="B10" s="31" t="s">
        <v>10</v>
      </c>
      <c r="C10" s="3">
        <f>'PREDICT Form_Women_FG'!D10</f>
        <v>50</v>
      </c>
      <c r="D10" s="19">
        <f>0.193898 * ($C$10/12)</f>
        <v>0.80790833333333334</v>
      </c>
      <c r="E10" s="19"/>
      <c r="F10" s="19"/>
    </row>
    <row r="11" spans="2:7" ht="32.1" customHeight="1">
      <c r="B11" s="31" t="s">
        <v>11</v>
      </c>
      <c r="C11" s="3" t="str">
        <f>'PREDICT Form_Women_FG'!D11</f>
        <v>No</v>
      </c>
      <c r="D11" s="19">
        <f>-13.78889 * IF($C$11="Yes", 1, 0)</f>
        <v>0</v>
      </c>
      <c r="E11" s="19"/>
      <c r="F11" s="19"/>
    </row>
    <row r="12" spans="2:7">
      <c r="B12"/>
      <c r="C12"/>
      <c r="D12" s="32">
        <f>SUM(D4:D11)</f>
        <v>1.6743576418313331</v>
      </c>
      <c r="E12" s="19"/>
      <c r="F12" s="19"/>
    </row>
    <row r="13" spans="2:7">
      <c r="C13" s="33" t="s">
        <v>38</v>
      </c>
      <c r="D13" s="32">
        <f>0.99417809 * D12</f>
        <v>1.6646096823327787</v>
      </c>
      <c r="E13" s="19"/>
      <c r="F13" s="19"/>
    </row>
    <row r="14" spans="2:7">
      <c r="C14" s="33" t="s">
        <v>39</v>
      </c>
      <c r="D14" s="32"/>
      <c r="E14" s="19"/>
      <c r="F14" s="19"/>
    </row>
    <row r="15" spans="2:7" ht="24">
      <c r="C15" s="22">
        <f>(0)*EXP($D$13)</f>
        <v>0</v>
      </c>
      <c r="D15" s="32"/>
      <c r="E15" s="19"/>
      <c r="F15" s="19"/>
    </row>
    <row r="16" spans="2:7" ht="24">
      <c r="B16" s="21" t="s">
        <v>40</v>
      </c>
      <c r="C16" s="22">
        <f>(0.0029232)*EXP($D$13)</f>
        <v>1.5445050390998494E-2</v>
      </c>
      <c r="D16" s="32"/>
      <c r="E16" s="19"/>
      <c r="F16" s="19"/>
    </row>
    <row r="17" spans="1:6" ht="29.1" customHeight="1">
      <c r="B17" s="21" t="s">
        <v>12</v>
      </c>
      <c r="C17" s="22">
        <f>(0.012814)*EXP($D$13)</f>
        <v>6.7704185724635574E-2</v>
      </c>
      <c r="E17" s="30"/>
      <c r="F17" s="30"/>
    </row>
    <row r="18" spans="1:6" ht="29.1" customHeight="1">
      <c r="B18" s="21" t="s">
        <v>14</v>
      </c>
      <c r="C18" s="22">
        <f>(0.0179092)*EXP($D$13)</f>
        <v>9.4625238253444932E-2</v>
      </c>
      <c r="E18" s="30"/>
      <c r="F18" s="30"/>
    </row>
    <row r="19" spans="1:6" ht="29.1" customHeight="1">
      <c r="B19" s="21" t="s">
        <v>15</v>
      </c>
      <c r="C19" s="22">
        <f>(0.0340692)*EXP($D$13)</f>
        <v>0.18000838491413723</v>
      </c>
      <c r="E19" s="30"/>
      <c r="F19" s="30"/>
    </row>
    <row r="20" spans="1:6" ht="29.1" customHeight="1">
      <c r="B20" s="21" t="s">
        <v>16</v>
      </c>
      <c r="C20" s="22">
        <f>(0.0620539)*EXP($D$13)</f>
        <v>0.32786864137177801</v>
      </c>
      <c r="E20" s="30"/>
      <c r="F20" s="30"/>
    </row>
    <row r="21" spans="1:6" ht="29.1" customHeight="1">
      <c r="B21" s="23"/>
      <c r="C21" s="33" t="s">
        <v>41</v>
      </c>
    </row>
    <row r="22" spans="1:6" ht="29.1" customHeight="1">
      <c r="A22" s="1">
        <v>0</v>
      </c>
      <c r="B22" s="23"/>
      <c r="C22" s="26">
        <f t="shared" ref="C22:C27" si="0">1- EXP(-C15)</f>
        <v>0</v>
      </c>
    </row>
    <row r="23" spans="1:6" ht="29.1" customHeight="1">
      <c r="A23" s="1">
        <v>1</v>
      </c>
      <c r="B23" s="25" t="s">
        <v>42</v>
      </c>
      <c r="C23" s="26">
        <f t="shared" si="0"/>
        <v>1.5326387304819167E-2</v>
      </c>
    </row>
    <row r="24" spans="1:6" ht="29.1" customHeight="1">
      <c r="A24" s="1">
        <v>3</v>
      </c>
      <c r="B24" s="25" t="s">
        <v>17</v>
      </c>
      <c r="C24" s="26">
        <f t="shared" si="0"/>
        <v>6.5463117957024197E-2</v>
      </c>
    </row>
    <row r="25" spans="1:6" ht="29.1" customHeight="1">
      <c r="A25" s="1">
        <v>5</v>
      </c>
      <c r="B25" s="25" t="s">
        <v>18</v>
      </c>
      <c r="C25" s="26">
        <f t="shared" si="0"/>
        <v>9.0286203475536952E-2</v>
      </c>
    </row>
    <row r="26" spans="1:6" ht="29.1" customHeight="1">
      <c r="A26" s="1">
        <v>10</v>
      </c>
      <c r="B26" s="25" t="s">
        <v>19</v>
      </c>
      <c r="C26" s="26">
        <f t="shared" si="0"/>
        <v>0.16473679222836957</v>
      </c>
    </row>
    <row r="27" spans="1:6" ht="29.1" customHeight="1">
      <c r="A27" s="1">
        <v>15</v>
      </c>
      <c r="B27" s="25" t="s">
        <v>20</v>
      </c>
      <c r="C27" s="26">
        <f t="shared" si="0"/>
        <v>0.27954234818137214</v>
      </c>
    </row>
  </sheetData>
  <mergeCells count="1">
    <mergeCell ref="B1:C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44CE-873B-7B4E-A2C1-B42A16FFDD2B}">
  <dimension ref="A1:E6"/>
  <sheetViews>
    <sheetView workbookViewId="0">
      <selection activeCell="D4" sqref="D4"/>
    </sheetView>
  </sheetViews>
  <sheetFormatPr defaultColWidth="10.875" defaultRowHeight="15.95"/>
  <cols>
    <col min="1" max="1" width="10.875" style="27"/>
    <col min="2" max="2" width="33.5" style="27" customWidth="1"/>
    <col min="3" max="3" width="10.875" style="27"/>
    <col min="4" max="4" width="21.5" style="27" customWidth="1"/>
    <col min="5" max="16384" width="10.875" style="27"/>
  </cols>
  <sheetData>
    <row r="1" spans="1:5">
      <c r="A1" s="29" t="s">
        <v>43</v>
      </c>
      <c r="B1" s="29" t="s">
        <v>44</v>
      </c>
      <c r="C1" s="29" t="s">
        <v>45</v>
      </c>
      <c r="D1" s="29" t="s">
        <v>46</v>
      </c>
      <c r="E1" s="29"/>
    </row>
    <row r="2" spans="1:5">
      <c r="A2" s="28" t="s">
        <v>47</v>
      </c>
      <c r="B2" s="27" t="s">
        <v>48</v>
      </c>
      <c r="C2" s="27" t="s">
        <v>25</v>
      </c>
      <c r="D2" s="27" t="s">
        <v>36</v>
      </c>
    </row>
    <row r="3" spans="1:5">
      <c r="A3" s="28" t="s">
        <v>49</v>
      </c>
      <c r="B3" s="27" t="s">
        <v>35</v>
      </c>
      <c r="C3" s="27" t="s">
        <v>28</v>
      </c>
      <c r="D3" s="27" t="s">
        <v>50</v>
      </c>
    </row>
    <row r="4" spans="1:5">
      <c r="B4" s="27" t="s">
        <v>24</v>
      </c>
      <c r="D4" s="27" t="s">
        <v>51</v>
      </c>
    </row>
    <row r="5" spans="1:5">
      <c r="D5" s="27" t="s">
        <v>52</v>
      </c>
    </row>
    <row r="6" spans="1:5">
      <c r="D6" s="27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ffc58f-3ba8-4eb4-9f5a-ef36cac80a0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4C538E5BD0C4586FEECAD6E1C9A22" ma:contentTypeVersion="14" ma:contentTypeDescription="Create a new document." ma:contentTypeScope="" ma:versionID="d33a7410588a8a34d1cc8014da66847b">
  <xsd:schema xmlns:xsd="http://www.w3.org/2001/XMLSchema" xmlns:xs="http://www.w3.org/2001/XMLSchema" xmlns:p="http://schemas.microsoft.com/office/2006/metadata/properties" xmlns:ns2="ddffc58f-3ba8-4eb4-9f5a-ef36cac80a0e" xmlns:ns3="06698187-7c50-4ba6-ad56-5fc1e66771f1" targetNamespace="http://schemas.microsoft.com/office/2006/metadata/properties" ma:root="true" ma:fieldsID="cf7e2b19bed1d93fc280119ba4fe8ee9" ns2:_="" ns3:_="">
    <xsd:import namespace="ddffc58f-3ba8-4eb4-9f5a-ef36cac80a0e"/>
    <xsd:import namespace="06698187-7c50-4ba6-ad56-5fc1e6677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fc58f-3ba8-4eb4-9f5a-ef36cac80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698187-7c50-4ba6-ad56-5fc1e66771f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4958A4-6190-4951-AEAD-44C40688F6EC}"/>
</file>

<file path=customXml/itemProps2.xml><?xml version="1.0" encoding="utf-8"?>
<ds:datastoreItem xmlns:ds="http://schemas.openxmlformats.org/officeDocument/2006/customXml" ds:itemID="{77A43E09-757B-45FD-992A-102EEDF1C7D8}"/>
</file>

<file path=customXml/itemProps3.xml><?xml version="1.0" encoding="utf-8"?>
<ds:datastoreItem xmlns:ds="http://schemas.openxmlformats.org/officeDocument/2006/customXml" ds:itemID="{06A21C9D-BA64-477C-8822-5C01B029A7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 Kyaw Aung</dc:creator>
  <cp:keywords/>
  <dc:description/>
  <cp:lastModifiedBy>Ye Kyaw Aung</cp:lastModifiedBy>
  <cp:revision/>
  <dcterms:created xsi:type="dcterms:W3CDTF">2024-06-13T04:20:45Z</dcterms:created>
  <dcterms:modified xsi:type="dcterms:W3CDTF">2025-07-31T05:09:33Z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0x0101004C44C538E5BD0C4586FEECAD6E1C9A22</vt:lpwstr>
  </property>
  <property fmtid="{D5CDD505-2E9C-101B-9397-08002B2CF9AE}" pid="3" name="MediaServiceImageTags">
    <vt:lpwstr/>
  </property>
</Properties>
</file>