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unimelbcloud.sharepoint.com/teams/ColorectalCancerPPED-YeKyawAung-PhD-Program/Shared Documents/Ye Kyaw Aung-PhD-Program/Extracolonic cancer/Thesis/PREDICT/PREDICT_SPCRisk_Shared/"/>
    </mc:Choice>
  </mc:AlternateContent>
  <xr:revisionPtr revIDLastSave="68" documentId="13_ncr:1_{C1BC3230-357B-FF40-9305-67B85DDE109E}" xr6:coauthVersionLast="47" xr6:coauthVersionMax="47" xr10:uidLastSave="{76E95676-0CE6-1642-8674-C219166FBFB3}"/>
  <workbookProtection workbookAlgorithmName="SHA-512" workbookHashValue="xEKf8VC6bwVUN/zzBBeWSGE4aZRkQtLbDZGabhwWnH6YbF5ZMrhLGde+CwE8j0ssY4yWgdXTUWW0nUsuoZjIlQ==" workbookSaltValue="UyLIEoI+znBx+gWSUqJQwQ==" workbookSpinCount="100000" lockStructure="1"/>
  <bookViews>
    <workbookView xWindow="0" yWindow="500" windowWidth="38400" windowHeight="19600" firstSheet="2" activeTab="2" xr2:uid="{AA5BBC96-EA06-D74A-8789-457DDE6CAAF2}"/>
  </bookViews>
  <sheets>
    <sheet name="PREDICT Form_Men_FP Model" sheetId="1" state="hidden" r:id="rId1"/>
    <sheet name="Origin_Men_FP" sheetId="4" state="hidden" r:id="rId2"/>
    <sheet name="PREDICT Form_Men_FG Model" sheetId="8" r:id="rId3"/>
    <sheet name="Origin_Men_FG" sheetId="7" state="hidden" r:id="rId4"/>
    <sheet name="List" sheetId="2" state="hidden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7" l="1"/>
  <c r="D10" i="7" s="1"/>
  <c r="C9" i="7"/>
  <c r="D9" i="7" s="1" a="1"/>
  <c r="D9" i="7" s="1"/>
  <c r="C8" i="7"/>
  <c r="D8" i="7" s="1"/>
  <c r="C7" i="7"/>
  <c r="D7" i="7" s="1"/>
  <c r="C6" i="7"/>
  <c r="D6" i="7" s="1"/>
  <c r="C5" i="7"/>
  <c r="D5" i="7" s="1" a="1"/>
  <c r="D5" i="7" s="1"/>
  <c r="C4" i="7"/>
  <c r="D4" i="7" s="1"/>
  <c r="C18" i="1"/>
  <c r="C13" i="1"/>
  <c r="C4" i="4"/>
  <c r="D4" i="4" s="1"/>
  <c r="C5" i="4"/>
  <c r="D5" i="4" s="1" a="1"/>
  <c r="D5" i="4" s="1"/>
  <c r="C10" i="4"/>
  <c r="D10" i="4" s="1"/>
  <c r="C6" i="4"/>
  <c r="D6" i="4" s="1"/>
  <c r="C7" i="4"/>
  <c r="D7" i="4" s="1"/>
  <c r="C8" i="4"/>
  <c r="D8" i="4" s="1"/>
  <c r="C9" i="4"/>
  <c r="D9" i="4" s="1" a="1"/>
  <c r="D9" i="4" s="1"/>
  <c r="D11" i="4" l="1"/>
  <c r="D12" i="4" s="1"/>
  <c r="D11" i="7"/>
  <c r="D12" i="7" s="1"/>
  <c r="I15" i="7" l="1"/>
  <c r="I22" i="7" s="1"/>
  <c r="H15" i="7"/>
  <c r="H22" i="7" s="1"/>
  <c r="G15" i="7"/>
  <c r="G22" i="7" s="1"/>
  <c r="F15" i="7"/>
  <c r="F22" i="7" s="1"/>
  <c r="I16" i="7"/>
  <c r="I23" i="7" s="1"/>
  <c r="G16" i="7"/>
  <c r="G23" i="7" s="1"/>
  <c r="H16" i="7"/>
  <c r="H23" i="7" s="1"/>
  <c r="F16" i="7"/>
  <c r="F23" i="7" s="1"/>
  <c r="I20" i="7"/>
  <c r="I27" i="7" s="1"/>
  <c r="H18" i="7"/>
  <c r="H25" i="7" s="1"/>
  <c r="D18" i="7"/>
  <c r="D25" i="7" s="1"/>
  <c r="C20" i="7"/>
  <c r="C27" i="7" s="1"/>
  <c r="G18" i="7"/>
  <c r="G25" i="7" s="1"/>
  <c r="F19" i="7"/>
  <c r="F26" i="7" s="1"/>
  <c r="D14" i="8" s="1"/>
  <c r="I19" i="7"/>
  <c r="I26" i="7" s="1"/>
  <c r="H17" i="7"/>
  <c r="H24" i="7" s="1"/>
  <c r="D17" i="7"/>
  <c r="D24" i="7" s="1"/>
  <c r="C19" i="7"/>
  <c r="C26" i="7" s="1"/>
  <c r="G17" i="7"/>
  <c r="G24" i="7" s="1"/>
  <c r="F18" i="7"/>
  <c r="F25" i="7" s="1"/>
  <c r="D13" i="8" s="1"/>
  <c r="H20" i="7"/>
  <c r="H27" i="7" s="1"/>
  <c r="D20" i="7"/>
  <c r="D27" i="7" s="1"/>
  <c r="C18" i="7"/>
  <c r="C25" i="7" s="1"/>
  <c r="G20" i="7"/>
  <c r="G27" i="7" s="1"/>
  <c r="F17" i="7"/>
  <c r="F24" i="7" s="1"/>
  <c r="D12" i="8" s="1"/>
  <c r="I18" i="7"/>
  <c r="I25" i="7" s="1"/>
  <c r="I17" i="7"/>
  <c r="I24" i="7" s="1"/>
  <c r="H19" i="7"/>
  <c r="H26" i="7" s="1"/>
  <c r="D19" i="7"/>
  <c r="D26" i="7" s="1"/>
  <c r="C17" i="7"/>
  <c r="C24" i="7" s="1"/>
  <c r="G19" i="7"/>
  <c r="G26" i="7" s="1"/>
  <c r="F20" i="7"/>
  <c r="F27" i="7" s="1"/>
  <c r="D15" i="8" s="1"/>
  <c r="C13" i="4"/>
  <c r="C18" i="4" s="1"/>
  <c r="C16" i="4"/>
  <c r="C21" i="4" s="1"/>
  <c r="C21" i="1" s="1"/>
  <c r="C15" i="4"/>
  <c r="C15" i="1" s="1"/>
  <c r="C14" i="4"/>
  <c r="C19" i="4" l="1"/>
  <c r="C19" i="1" s="1"/>
  <c r="C20" i="4"/>
  <c r="C20" i="1" s="1"/>
  <c r="C16" i="1"/>
  <c r="C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<sst xmlns="http://schemas.openxmlformats.org/spreadsheetml/2006/main" count="109" uniqueCount="51">
  <si>
    <r>
      <t xml:space="preserve">PREDICT Subsequent Primary Extracolonic Cancer For </t>
    </r>
    <r>
      <rPr>
        <b/>
        <sz val="22"/>
        <color rgb="FFFF0000"/>
        <rFont val="Aptos Narrow (Body)"/>
      </rPr>
      <t>Male</t>
    </r>
    <r>
      <rPr>
        <b/>
        <sz val="22"/>
        <color theme="3"/>
        <rFont val="Aptos Narrow"/>
        <family val="2"/>
        <scheme val="minor"/>
      </rPr>
      <t xml:space="preserve"> Colorectal Cancer Survivors</t>
    </r>
  </si>
  <si>
    <t>Characteristics</t>
  </si>
  <si>
    <t>Values</t>
  </si>
  <si>
    <t xml:space="preserve">    </t>
  </si>
  <si>
    <t>Age at diagnosis of initial colorectal cancer</t>
  </si>
  <si>
    <t>Marital status</t>
  </si>
  <si>
    <t>Separated/Divorced/Widowed/Unknown</t>
  </si>
  <si>
    <t>Height in centimetre</t>
  </si>
  <si>
    <t>Self reported history of Diabetes</t>
  </si>
  <si>
    <t>No</t>
  </si>
  <si>
    <t>Self reported history of ever taken Aspirin</t>
  </si>
  <si>
    <t>Yes</t>
  </si>
  <si>
    <t xml:space="preserve"> </t>
  </si>
  <si>
    <t>Primary site of colorectal cancer</t>
  </si>
  <si>
    <t>Distal Colon</t>
  </si>
  <si>
    <t>Cigarette smoking (Pack-year)</t>
  </si>
  <si>
    <t>Extracolonic Cancer-free Survival</t>
  </si>
  <si>
    <t>3 years</t>
  </si>
  <si>
    <t>5 years</t>
  </si>
  <si>
    <t>10 years</t>
  </si>
  <si>
    <t>15 years</t>
  </si>
  <si>
    <t>Subsequent primary extracolonic cancer risk</t>
  </si>
  <si>
    <t>Survival Probability and Cumulative Risks of Subsequent Extracolonic Primary Cancers For Male Colorectal Cancer Survivors</t>
  </si>
  <si>
    <t>Estimates</t>
  </si>
  <si>
    <t>Age at diagnosis of first index colorectal cancer</t>
  </si>
  <si>
    <t>Survival probability at 3 years</t>
  </si>
  <si>
    <t>Survival probability at 5 years</t>
  </si>
  <si>
    <t>Survival probability at 10 years</t>
  </si>
  <si>
    <t>Survival probability at 15 years</t>
  </si>
  <si>
    <t>Cumulative Risks at 3 years</t>
  </si>
  <si>
    <t>Cumulative Risks at 5 years</t>
  </si>
  <si>
    <t>Cumulative Risks at 10 years</t>
  </si>
  <si>
    <t>Cumulative Risks at 15 years</t>
  </si>
  <si>
    <t>Currently married</t>
  </si>
  <si>
    <t>Rectum</t>
  </si>
  <si>
    <t>Using Formula : λ_k(t) = λ_k0(t) * exp(β * X)</t>
  </si>
  <si>
    <t>Shrankage basecsh</t>
  </si>
  <si>
    <t>basecsh</t>
  </si>
  <si>
    <t>basecif</t>
  </si>
  <si>
    <t>Shrankage basecif</t>
  </si>
  <si>
    <t>Using Formula : F_k(t) = 1 - exp(-∫₀ᵗ λ_k(u) du)</t>
  </si>
  <si>
    <t>Race</t>
  </si>
  <si>
    <t>Marital Status</t>
  </si>
  <si>
    <t>Yesno</t>
  </si>
  <si>
    <t>Site</t>
  </si>
  <si>
    <t>White</t>
  </si>
  <si>
    <t>Single/Never married</t>
  </si>
  <si>
    <t>Proximal Colon</t>
  </si>
  <si>
    <t>Non-White</t>
  </si>
  <si>
    <t>Unspecified site of colon</t>
  </si>
  <si>
    <t>More than one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</si>
</sst>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0.0000%"/>
  </numFmts>
  <fonts count="25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8"/>
      <color theme="1"/>
      <name val="Aptos Light"/>
    </font>
    <font>
      <sz val="14"/>
      <color theme="1"/>
      <name val="Aptos Light"/>
    </font>
    <font>
      <b/>
      <sz val="16"/>
      <color theme="0"/>
      <name val="Aptos Light"/>
    </font>
    <font>
      <sz val="16"/>
      <color theme="1"/>
      <name val="Aptos Light"/>
    </font>
    <font>
      <sz val="14"/>
      <name val="Aptos Light"/>
    </font>
    <font>
      <b/>
      <sz val="16"/>
      <name val="Aptos Light"/>
    </font>
    <font>
      <b/>
      <sz val="18"/>
      <color rgb="FFFF0000"/>
      <name val="Aptos Light"/>
    </font>
    <font>
      <sz val="18"/>
      <color rgb="FFFF0000"/>
      <name val="Aptos Light"/>
    </font>
    <font>
      <sz val="18"/>
      <color theme="1"/>
      <name val="Aptos Light"/>
    </font>
    <font>
      <b/>
      <sz val="18"/>
      <color theme="7"/>
      <name val="Aptos Light"/>
    </font>
    <font>
      <sz val="18"/>
      <color theme="7"/>
      <name val="Aptos Light"/>
    </font>
    <font>
      <b/>
      <sz val="18"/>
      <color theme="3"/>
      <name val="Aptos Narrow"/>
      <family val="2"/>
      <scheme val="minor"/>
    </font>
    <font>
      <b/>
      <sz val="22"/>
      <color theme="3"/>
      <name val="Aptos Narrow"/>
      <family val="2"/>
      <scheme val="minor"/>
    </font>
    <font>
      <sz val="12"/>
      <color theme="1"/>
      <name val="Aptos"/>
    </font>
    <font>
      <b/>
      <sz val="12"/>
      <color theme="1"/>
      <name val="Aptos"/>
    </font>
    <font>
      <b/>
      <sz val="22"/>
      <color rgb="FFFF0000"/>
      <name val="Aptos Narrow (Body)"/>
    </font>
    <font>
      <b/>
      <sz val="14"/>
      <color theme="1"/>
      <name val="Aptos Light"/>
    </font>
    <font>
      <sz val="12"/>
      <name val="Aptos Light"/>
    </font>
    <font>
      <b/>
      <sz val="16"/>
      <color theme="7"/>
      <name val="Aptos Light"/>
    </font>
    <font>
      <sz val="16"/>
      <color rgb="FFFF0000"/>
      <name val="Aptos Light"/>
    </font>
    <font>
      <sz val="12"/>
      <color theme="8"/>
      <name val="Aptos Light"/>
    </font>
    <font>
      <sz val="14"/>
      <color theme="8"/>
      <name val="Aptos Ligh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56">
    <xf numFmtId="0" fontId="0" fillId="0" borderId="0" xfId="0"/>
    <xf numFmtId="0" fontId="4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 readingOrder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 readingOrder="1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164" fontId="4" fillId="2" borderId="0" xfId="1" applyNumberFormat="1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164" fontId="10" fillId="2" borderId="0" xfId="1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164" fontId="13" fillId="2" borderId="0" xfId="1" applyNumberFormat="1" applyFont="1" applyFill="1" applyBorder="1" applyAlignment="1">
      <alignment horizontal="center" vertical="center"/>
    </xf>
    <xf numFmtId="0" fontId="14" fillId="2" borderId="0" xfId="2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4" fillId="0" borderId="0" xfId="2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 readingOrder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4" fillId="0" borderId="0" xfId="0" applyNumberFormat="1" applyFont="1" applyAlignment="1">
      <alignment vertical="center"/>
    </xf>
    <xf numFmtId="164" fontId="4" fillId="0" borderId="0" xfId="1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164" fontId="10" fillId="0" borderId="0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164" fontId="13" fillId="0" borderId="0" xfId="1" applyNumberFormat="1" applyFont="1" applyFill="1" applyBorder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vertical="center"/>
    </xf>
    <xf numFmtId="0" fontId="17" fillId="0" borderId="0" xfId="0" applyFont="1"/>
    <xf numFmtId="10" fontId="10" fillId="2" borderId="0" xfId="1" applyNumberFormat="1" applyFont="1" applyFill="1" applyBorder="1" applyAlignment="1">
      <alignment horizontal="center" vertical="center"/>
    </xf>
    <xf numFmtId="166" fontId="10" fillId="0" borderId="0" xfId="1" applyNumberFormat="1" applyFont="1" applyFill="1" applyBorder="1" applyAlignment="1">
      <alignment horizontal="center" vertical="center"/>
    </xf>
    <xf numFmtId="165" fontId="10" fillId="0" borderId="0" xfId="1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9" fontId="4" fillId="0" borderId="0" xfId="0" applyNumberFormat="1" applyFont="1" applyAlignment="1">
      <alignment vertical="center"/>
    </xf>
    <xf numFmtId="0" fontId="20" fillId="2" borderId="0" xfId="0" applyFont="1" applyFill="1" applyAlignment="1">
      <alignment horizontal="center" vertical="center" wrapText="1"/>
    </xf>
    <xf numFmtId="164" fontId="22" fillId="2" borderId="0" xfId="1" applyNumberFormat="1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right" vertical="center"/>
    </xf>
    <xf numFmtId="0" fontId="12" fillId="2" borderId="0" xfId="0" applyFont="1" applyFill="1" applyAlignment="1">
      <alignment horizontal="right" vertical="center"/>
    </xf>
    <xf numFmtId="0" fontId="7" fillId="2" borderId="2" xfId="0" applyFont="1" applyFill="1" applyBorder="1" applyAlignment="1">
      <alignment horizontal="left" vertical="center" wrapText="1" readingOrder="1"/>
    </xf>
    <xf numFmtId="0" fontId="7" fillId="2" borderId="2" xfId="0" applyFont="1" applyFill="1" applyBorder="1" applyAlignment="1">
      <alignment vertical="center" wrapText="1" readingOrder="1"/>
    </xf>
    <xf numFmtId="0" fontId="8" fillId="3" borderId="2" xfId="0" applyFont="1" applyFill="1" applyBorder="1" applyAlignment="1">
      <alignment horizontal="left" vertical="center" wrapText="1" readingOrder="1"/>
    </xf>
    <xf numFmtId="0" fontId="8" fillId="3" borderId="2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left" vertical="center" wrapText="1" readingOrder="1"/>
    </xf>
    <xf numFmtId="0" fontId="20" fillId="2" borderId="2" xfId="0" applyFont="1" applyFill="1" applyBorder="1" applyAlignment="1">
      <alignment horizontal="left" vertical="center" wrapText="1" readingOrder="1"/>
    </xf>
    <xf numFmtId="0" fontId="20" fillId="2" borderId="2" xfId="0" applyFont="1" applyFill="1" applyBorder="1" applyAlignment="1">
      <alignment vertical="center" wrapText="1" readingOrder="1"/>
    </xf>
    <xf numFmtId="0" fontId="21" fillId="2" borderId="0" xfId="0" applyFont="1" applyFill="1" applyAlignment="1">
      <alignment horizontal="center" vertical="center" wrapText="1"/>
    </xf>
    <xf numFmtId="0" fontId="21" fillId="2" borderId="0" xfId="0" applyFont="1" applyFill="1" applyAlignment="1">
      <alignment horizontal="right" vertical="center" wrapText="1"/>
    </xf>
    <xf numFmtId="0" fontId="23" fillId="2" borderId="2" xfId="0" applyFont="1" applyFill="1" applyBorder="1" applyAlignment="1" applyProtection="1">
      <alignment horizontal="center" vertical="center" wrapText="1"/>
      <protection locked="0"/>
    </xf>
    <xf numFmtId="0" fontId="15" fillId="2" borderId="1" xfId="2" applyFont="1" applyFill="1" applyAlignment="1">
      <alignment horizontal="center" vertical="center" wrapText="1"/>
    </xf>
    <xf numFmtId="0" fontId="15" fillId="0" borderId="1" xfId="2" applyFont="1" applyFill="1" applyAlignment="1">
      <alignment horizontal="center" vertical="center" wrapText="1"/>
    </xf>
  </cellXfs>
  <cellStyles count="3">
    <cellStyle name="Heading 1" xfId="2" builtinId="1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Origin_Men_FG!$E$22:$E$27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Origin_Men_FG!$F$22:$F$27</c:f>
              <c:numCache>
                <c:formatCode>0.0%</c:formatCode>
                <c:ptCount val="6"/>
                <c:pt idx="0">
                  <c:v>0</c:v>
                </c:pt>
                <c:pt idx="1">
                  <c:v>5.7633833913979249E-3</c:v>
                </c:pt>
                <c:pt idx="2">
                  <c:v>2.4749802731071413E-2</c:v>
                </c:pt>
                <c:pt idx="3">
                  <c:v>3.7016778128151295E-2</c:v>
                </c:pt>
                <c:pt idx="4">
                  <c:v>7.8322806350540231E-2</c:v>
                </c:pt>
                <c:pt idx="5">
                  <c:v>0.12917694503160415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AA-EE4E-AE2A-240637C2A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536432"/>
        <c:axId val="919331168"/>
      </c:scatterChart>
      <c:valAx>
        <c:axId val="919536432"/>
        <c:scaling>
          <c:orientation val="minMax"/>
          <c:max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Years from diagnosis</a:t>
                </a:r>
                <a:r>
                  <a:rPr lang="en-US" sz="1100" b="1" baseline="0"/>
                  <a:t> of initial colorectal cancer</a:t>
                </a:r>
                <a:endParaRPr lang="en-US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919331168"/>
        <c:crosses val="autoZero"/>
        <c:crossBetween val="midCat"/>
        <c:majorUnit val="1"/>
      </c:valAx>
      <c:valAx>
        <c:axId val="919331168"/>
        <c:scaling>
          <c:orientation val="minMax"/>
          <c:max val="0.6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 Risk of Subseqquent</a:t>
                </a:r>
                <a:r>
                  <a:rPr lang="en-US" sz="1100" b="1" baseline="0"/>
                  <a:t> Primary Extracolonic Cancer</a:t>
                </a:r>
                <a:endParaRPr lang="en-US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91953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Origin_Men_FG!$E$22:$E$27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Origin_Men_FG!$F$22:$F$27</c:f>
              <c:numCache>
                <c:formatCode>0.0%</c:formatCode>
                <c:ptCount val="6"/>
                <c:pt idx="0">
                  <c:v>0</c:v>
                </c:pt>
                <c:pt idx="1">
                  <c:v>5.7633833913979249E-3</c:v>
                </c:pt>
                <c:pt idx="2">
                  <c:v>2.4749802731071413E-2</c:v>
                </c:pt>
                <c:pt idx="3">
                  <c:v>3.7016778128151295E-2</c:v>
                </c:pt>
                <c:pt idx="4">
                  <c:v>7.8322806350540231E-2</c:v>
                </c:pt>
                <c:pt idx="5">
                  <c:v>0.12917694503160415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D3-1348-BAF4-EE641B5F9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536432"/>
        <c:axId val="919331168"/>
      </c:scatterChart>
      <c:valAx>
        <c:axId val="919536432"/>
        <c:scaling>
          <c:orientation val="minMax"/>
          <c:max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Years from diagnosis</a:t>
                </a:r>
                <a:r>
                  <a:rPr lang="en-US" b="1" baseline="0"/>
                  <a:t> of initial colorectal cancer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919331168"/>
        <c:crosses val="autoZero"/>
        <c:crossBetween val="midCat"/>
        <c:majorUnit val="1"/>
      </c:valAx>
      <c:valAx>
        <c:axId val="919331168"/>
        <c:scaling>
          <c:orientation val="minMax"/>
          <c:max val="0.6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Cumulative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91953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0</xdr:row>
      <xdr:rowOff>12700</xdr:rowOff>
    </xdr:from>
    <xdr:to>
      <xdr:col>3</xdr:col>
      <xdr:colOff>1384300</xdr:colOff>
      <xdr:row>1</xdr:row>
      <xdr:rowOff>44331</xdr:rowOff>
    </xdr:to>
    <xdr:pic>
      <xdr:nvPicPr>
        <xdr:cNvPr id="2" name="Picture 1" descr="Risk Icon Speedometer High Risk Meter Vector Stock Illustration Stock  Vector by ©appleboy 347136500">
          <a:extLst>
            <a:ext uri="{FF2B5EF4-FFF2-40B4-BE49-F238E27FC236}">
              <a16:creationId xmlns:a16="http://schemas.microsoft.com/office/drawing/2014/main" id="{DACB2724-BFA3-FB62-694D-D11F2A53F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6700" y="12700"/>
          <a:ext cx="1371600" cy="123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1041400</xdr:colOff>
      <xdr:row>0</xdr:row>
      <xdr:rowOff>38100</xdr:rowOff>
    </xdr:from>
    <xdr:to>
      <xdr:col>0</xdr:col>
      <xdr:colOff>2235200</xdr:colOff>
      <xdr:row>1</xdr:row>
      <xdr:rowOff>25400</xdr:rowOff>
    </xdr:to>
    <xdr:pic>
      <xdr:nvPicPr>
        <xdr:cNvPr id="3" name="Picture 2" descr="Predicting - Free business and finance icons">
          <a:extLst>
            <a:ext uri="{FF2B5EF4-FFF2-40B4-BE49-F238E27FC236}">
              <a16:creationId xmlns:a16="http://schemas.microsoft.com/office/drawing/2014/main" id="{792F1ED1-E51C-9DE7-B7EF-0A9B9116D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38100"/>
          <a:ext cx="1193800" cy="119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1</xdr:col>
      <xdr:colOff>1231900</xdr:colOff>
      <xdr:row>0</xdr:row>
      <xdr:rowOff>1193800</xdr:rowOff>
    </xdr:to>
    <xdr:pic>
      <xdr:nvPicPr>
        <xdr:cNvPr id="3" name="Picture 2" descr="Predicting - Free business and finance icons">
          <a:extLst>
            <a:ext uri="{FF2B5EF4-FFF2-40B4-BE49-F238E27FC236}">
              <a16:creationId xmlns:a16="http://schemas.microsoft.com/office/drawing/2014/main" id="{FAD2EA35-1A88-F046-98F6-C5E7384E8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193800" cy="119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687916</xdr:colOff>
      <xdr:row>14</xdr:row>
      <xdr:rowOff>381001</xdr:rowOff>
    </xdr:from>
    <xdr:to>
      <xdr:col>3</xdr:col>
      <xdr:colOff>1322915</xdr:colOff>
      <xdr:row>26</xdr:row>
      <xdr:rowOff>190501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BD1D01-3385-7E48-88F4-092EB5F2A4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508000</xdr:colOff>
      <xdr:row>9</xdr:row>
      <xdr:rowOff>177800</xdr:rowOff>
    </xdr:from>
    <xdr:to>
      <xdr:col>20</xdr:col>
      <xdr:colOff>596900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7445F2-C4DB-28AC-1E33-0C78A95C5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5BFA-B5B5-C545-AE27-F98B239A42EA}">
  <dimension ref="B1:F21"/>
  <sheetViews>
    <sheetView zoomScaleNormal="75" zoomScaleSheetLayoutView="83" workbookViewId="0">
      <selection activeCell="E12" sqref="E12"/>
    </sheetView>
  </sheetViews>
  <sheetFormatPr defaultColWidth="10.875" defaultRowHeight="18.95"/>
  <cols>
    <col min="1" max="1" width="30.125" style="5" customWidth="1"/>
    <col min="2" max="2" width="78.625" style="5" customWidth="1"/>
    <col min="3" max="3" width="41.375" style="5" customWidth="1"/>
    <col min="4" max="4" width="31.375" style="5" customWidth="1"/>
    <col min="5" max="5" width="29.625" style="5" customWidth="1"/>
    <col min="6" max="16384" width="10.875" style="5"/>
  </cols>
  <sheetData>
    <row r="1" spans="2:6" ht="95.1" customHeight="1" thickBot="1">
      <c r="B1" s="54" t="s">
        <v>0</v>
      </c>
      <c r="C1" s="54"/>
    </row>
    <row r="2" spans="2:6" ht="42" customHeight="1" thickTop="1">
      <c r="B2" s="13"/>
      <c r="C2" s="13"/>
    </row>
    <row r="3" spans="2:6" s="6" customFormat="1" ht="33.950000000000003" customHeight="1">
      <c r="B3" s="45" t="s">
        <v>1</v>
      </c>
      <c r="C3" s="46" t="s">
        <v>2</v>
      </c>
      <c r="D3"/>
      <c r="E3" s="6" t="s">
        <v>3</v>
      </c>
    </row>
    <row r="4" spans="2:6" ht="32.1" customHeight="1">
      <c r="B4" s="43" t="s">
        <v>4</v>
      </c>
      <c r="C4" s="47">
        <v>79</v>
      </c>
      <c r="F4" s="7"/>
    </row>
    <row r="5" spans="2:6" ht="32.1" customHeight="1">
      <c r="B5" s="43" t="s">
        <v>5</v>
      </c>
      <c r="C5" s="47" t="s">
        <v>6</v>
      </c>
      <c r="F5" s="7"/>
    </row>
    <row r="6" spans="2:6" ht="32.1" customHeight="1">
      <c r="B6" s="43" t="s">
        <v>7</v>
      </c>
      <c r="C6" s="47">
        <v>175</v>
      </c>
      <c r="D6"/>
    </row>
    <row r="7" spans="2:6" ht="32.1" customHeight="1">
      <c r="B7" s="44" t="s">
        <v>8</v>
      </c>
      <c r="C7" s="47" t="s">
        <v>9</v>
      </c>
      <c r="F7" s="7"/>
    </row>
    <row r="8" spans="2:6" ht="32.1" customHeight="1">
      <c r="B8" s="44" t="s">
        <v>10</v>
      </c>
      <c r="C8" s="47" t="s">
        <v>11</v>
      </c>
      <c r="E8" s="5" t="s">
        <v>12</v>
      </c>
      <c r="F8" s="7"/>
    </row>
    <row r="9" spans="2:6" ht="32.1" customHeight="1">
      <c r="B9" s="43" t="s">
        <v>13</v>
      </c>
      <c r="C9" s="47" t="s">
        <v>14</v>
      </c>
      <c r="F9" s="7"/>
    </row>
    <row r="10" spans="2:6" ht="32.1" customHeight="1">
      <c r="B10" s="43" t="s">
        <v>15</v>
      </c>
      <c r="C10" s="47">
        <v>117</v>
      </c>
    </row>
    <row r="12" spans="2:6" ht="24">
      <c r="B12" s="8" t="s">
        <v>16</v>
      </c>
    </row>
    <row r="13" spans="2:6" ht="24">
      <c r="B13" s="41" t="s">
        <v>17</v>
      </c>
      <c r="C13" s="9">
        <f>Origin_Men_FP!C13</f>
        <v>0.82611525065490177</v>
      </c>
    </row>
    <row r="14" spans="2:6" ht="29.1" customHeight="1">
      <c r="B14" s="41" t="s">
        <v>18</v>
      </c>
      <c r="C14" s="9">
        <f>Origin_Men_FP!C14</f>
        <v>0.65830723372761857</v>
      </c>
    </row>
    <row r="15" spans="2:6" ht="29.1" customHeight="1">
      <c r="B15" s="41" t="s">
        <v>19</v>
      </c>
      <c r="C15" s="9">
        <f>Origin_Men_FP!C15</f>
        <v>0.31264349026820415</v>
      </c>
    </row>
    <row r="16" spans="2:6" ht="29.1" customHeight="1">
      <c r="B16" s="41" t="s">
        <v>20</v>
      </c>
      <c r="C16" s="31">
        <f>Origin_Men_FP!C16</f>
        <v>0.10675140389901269</v>
      </c>
    </row>
    <row r="17" spans="2:3" ht="29.1" customHeight="1">
      <c r="B17" s="11" t="s">
        <v>21</v>
      </c>
      <c r="C17" s="10"/>
    </row>
    <row r="18" spans="2:3" ht="29.1" customHeight="1">
      <c r="B18" s="42" t="s">
        <v>17</v>
      </c>
      <c r="C18" s="12">
        <f>Origin_Men_FP!C18</f>
        <v>0.17388474934509823</v>
      </c>
    </row>
    <row r="19" spans="2:3" ht="29.1" customHeight="1">
      <c r="B19" s="42" t="s">
        <v>18</v>
      </c>
      <c r="C19" s="12">
        <f>Origin_Men_FP!C19</f>
        <v>0.34169276627238143</v>
      </c>
    </row>
    <row r="20" spans="2:3" ht="29.1" customHeight="1">
      <c r="B20" s="42" t="s">
        <v>19</v>
      </c>
      <c r="C20" s="12">
        <f>Origin_Men_FP!C20</f>
        <v>0.68735650973179585</v>
      </c>
    </row>
    <row r="21" spans="2:3" ht="29.1" customHeight="1">
      <c r="B21" s="42" t="s">
        <v>20</v>
      </c>
      <c r="C21" s="12">
        <f>Origin_Men_FP!C21</f>
        <v>0.89324859610098728</v>
      </c>
    </row>
  </sheetData>
  <mergeCells count="1">
    <mergeCell ref="B1:C1"/>
  </mergeCells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8006F90-1D6C-4643-9FA5-67E5E837E3C3}">
          <x14:formula1>
            <xm:f>List!$B$2:$B$4</xm:f>
          </x14:formula1>
          <xm:sqref>C5</xm:sqref>
        </x14:dataValidation>
        <x14:dataValidation type="list" allowBlank="1" showInputMessage="1" showErrorMessage="1" xr:uid="{42447B98-D80E-C14A-948A-1158AEBBE7F0}">
          <x14:formula1>
            <xm:f>List!$C$2:$C$3</xm:f>
          </x14:formula1>
          <xm:sqref>C7:C8</xm:sqref>
        </x14:dataValidation>
        <x14:dataValidation type="list" allowBlank="1" showInputMessage="1" showErrorMessage="1" xr:uid="{F71CDCF5-9071-B84C-9162-AFF04173AC93}">
          <x14:formula1>
            <xm:f>List!$D$2:$D$6</xm:f>
          </x14:formula1>
          <xm:sqref>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4D5A-04B3-A74B-80E3-2283690B7B12}">
  <dimension ref="B1:G28"/>
  <sheetViews>
    <sheetView workbookViewId="0">
      <selection activeCell="B2" sqref="B1:B1048576"/>
    </sheetView>
  </sheetViews>
  <sheetFormatPr defaultColWidth="10.875" defaultRowHeight="18.95"/>
  <cols>
    <col min="1" max="1" width="10.375" style="1" customWidth="1"/>
    <col min="2" max="2" width="63.5" style="1" customWidth="1"/>
    <col min="3" max="3" width="41.5" style="1" customWidth="1"/>
    <col min="4" max="4" width="22.625" style="1" customWidth="1"/>
    <col min="5" max="5" width="21.875" style="1" customWidth="1"/>
    <col min="6" max="6" width="23" style="1" customWidth="1"/>
    <col min="7" max="16384" width="10.875" style="1"/>
  </cols>
  <sheetData>
    <row r="1" spans="2:7" ht="95.1" customHeight="1" thickBot="1">
      <c r="B1" s="55" t="s">
        <v>22</v>
      </c>
      <c r="C1" s="55"/>
      <c r="D1" s="14"/>
    </row>
    <row r="2" spans="2:7" ht="42" customHeight="1" thickTop="1">
      <c r="B2" s="15"/>
      <c r="C2" s="15"/>
      <c r="D2" s="14"/>
    </row>
    <row r="3" spans="2:7" s="16" customFormat="1" ht="33.950000000000003" customHeight="1">
      <c r="B3" s="17" t="s">
        <v>1</v>
      </c>
      <c r="C3" s="18" t="s">
        <v>2</v>
      </c>
      <c r="D3" s="19" t="s">
        <v>23</v>
      </c>
      <c r="F3" s="16" t="s">
        <v>3</v>
      </c>
    </row>
    <row r="4" spans="2:7" ht="32.1" customHeight="1">
      <c r="B4" s="2" t="s">
        <v>24</v>
      </c>
      <c r="C4" s="3">
        <f>'PREDICT Form_Men_FP Model'!C4</f>
        <v>79</v>
      </c>
      <c r="D4" s="20">
        <f>0.2687164*($C$4/5 - 10.97038073)</f>
        <v>1.2977979036050282</v>
      </c>
      <c r="E4" s="20"/>
      <c r="F4" s="20"/>
      <c r="G4" s="21"/>
    </row>
    <row r="5" spans="2:7" ht="32.1" customHeight="1">
      <c r="B5" s="2" t="s">
        <v>5</v>
      </c>
      <c r="C5" s="3" t="str">
        <f>'PREDICT Form_Men_FP Model'!C5</f>
        <v>Separated/Divorced/Widowed/Unknown</v>
      </c>
      <c r="D5" s="20" cm="1">
        <f t="array" ref="D5">_xlfn.IFS($C$5="Single/Never married", (1*0), $C$5="Currently married",  (1*0.5651459), $C$5="Separated/Divorced/Widowed/Unknown", (1*0.5423838))</f>
        <v>0.54238379999999997</v>
      </c>
      <c r="E5" s="20"/>
      <c r="F5" s="20"/>
      <c r="G5" s="21"/>
    </row>
    <row r="6" spans="2:7" ht="32.1" customHeight="1">
      <c r="B6" s="2" t="s">
        <v>7</v>
      </c>
      <c r="C6" s="3">
        <f>'PREDICT Form_Men_FP Model'!C6</f>
        <v>175</v>
      </c>
      <c r="D6" s="20">
        <f>(0.03423*((($C$6/10)^3)-5570.988705)) + (-0.0107226*(((($C$6/10)^3)*LN($C$6/10)) - 16017.20129))</f>
        <v>2.2026338003523271E-2</v>
      </c>
      <c r="E6" s="20"/>
      <c r="F6" s="20"/>
    </row>
    <row r="7" spans="2:7" ht="32.1" customHeight="1">
      <c r="B7" s="4" t="s">
        <v>8</v>
      </c>
      <c r="C7" s="3" t="str">
        <f>'PREDICT Form_Men_FP Model'!C7</f>
        <v>No</v>
      </c>
      <c r="D7" s="20">
        <f>-0.3276467 * IF($C$7="Yes", 1, 0)</f>
        <v>0</v>
      </c>
      <c r="E7" s="20"/>
      <c r="F7" s="20"/>
      <c r="G7" s="21"/>
    </row>
    <row r="8" spans="2:7" ht="32.1" customHeight="1">
      <c r="B8" s="4" t="s">
        <v>10</v>
      </c>
      <c r="C8" s="3" t="str">
        <f>'PREDICT Form_Men_FP Model'!C8</f>
        <v>Yes</v>
      </c>
      <c r="D8" s="20">
        <f>0.2020214 * IF($C$8="Yes", 1, 0)</f>
        <v>0.20202139999999999</v>
      </c>
      <c r="E8" s="20"/>
      <c r="F8" s="20"/>
      <c r="G8" s="21"/>
    </row>
    <row r="9" spans="2:7" ht="32.1" customHeight="1">
      <c r="B9" s="2" t="s">
        <v>13</v>
      </c>
      <c r="C9" s="3" t="str">
        <f>'PREDICT Form_Men_FP Model'!C9</f>
        <v>Distal Colon</v>
      </c>
      <c r="D9" s="20" cm="1">
        <f t="array" ref="D9">_xlfn.IFS($C$9="Proximal Colon", (1*0.2971444), $C$9="Distal Colon",  (1*0.301167), $C$9="Unspecified site of colon", (1*0.7651653),  $C$9="More than one site", (1*0), $C$9="Rectum", (1*0))</f>
        <v>0.30116700000000002</v>
      </c>
      <c r="E9" s="20"/>
      <c r="F9" s="20"/>
      <c r="G9" s="21"/>
    </row>
    <row r="10" spans="2:7" ht="32.1" customHeight="1">
      <c r="B10" s="2" t="s">
        <v>15</v>
      </c>
      <c r="C10" s="3">
        <f>'PREDICT Form_Men_FP Model'!C10</f>
        <v>117</v>
      </c>
      <c r="D10" s="20">
        <f>0.12054 * ($C$10/12)</f>
        <v>1.175265</v>
      </c>
      <c r="E10" s="20"/>
      <c r="F10" s="20"/>
    </row>
    <row r="11" spans="2:7">
      <c r="D11" s="20">
        <f>SUM(D4:D10)</f>
        <v>3.5406614416085516</v>
      </c>
      <c r="E11" s="20"/>
      <c r="F11" s="20"/>
    </row>
    <row r="12" spans="2:7">
      <c r="D12" s="20">
        <f>0.92797271 * D11</f>
        <v>3.2856371931619943</v>
      </c>
      <c r="E12" s="20"/>
      <c r="F12" s="20"/>
    </row>
    <row r="13" spans="2:7" ht="24">
      <c r="B13" s="22" t="s">
        <v>25</v>
      </c>
      <c r="C13" s="23">
        <f>0.9928781^EXP(D12)</f>
        <v>0.82611525065490177</v>
      </c>
      <c r="D13" s="20"/>
      <c r="E13" s="20"/>
      <c r="F13" s="20"/>
    </row>
    <row r="14" spans="2:7" ht="29.1" customHeight="1">
      <c r="B14" s="22" t="s">
        <v>26</v>
      </c>
      <c r="C14" s="23">
        <f>0.9844784^EXP(D12)</f>
        <v>0.65830723372761857</v>
      </c>
      <c r="E14" s="32"/>
      <c r="F14" s="32"/>
    </row>
    <row r="15" spans="2:7" ht="29.1" customHeight="1">
      <c r="B15" s="22" t="s">
        <v>27</v>
      </c>
      <c r="C15" s="23">
        <f>0.9574286^EXP(D12)</f>
        <v>0.31264349026820415</v>
      </c>
      <c r="E15" s="32"/>
      <c r="F15" s="32"/>
    </row>
    <row r="16" spans="2:7" ht="29.1" customHeight="1">
      <c r="B16" s="22" t="s">
        <v>28</v>
      </c>
      <c r="C16" s="23">
        <f>0.9196973^EXP(D12)</f>
        <v>0.10675140389901269</v>
      </c>
      <c r="E16" s="32"/>
      <c r="F16" s="32"/>
    </row>
    <row r="17" spans="2:3" ht="29.1" customHeight="1">
      <c r="B17" s="24"/>
      <c r="C17" s="25"/>
    </row>
    <row r="18" spans="2:3" ht="29.1" customHeight="1">
      <c r="B18" s="26" t="s">
        <v>29</v>
      </c>
      <c r="C18" s="27">
        <f>1-C13</f>
        <v>0.17388474934509823</v>
      </c>
    </row>
    <row r="19" spans="2:3" ht="29.1" customHeight="1">
      <c r="B19" s="26" t="s">
        <v>30</v>
      </c>
      <c r="C19" s="27">
        <f>1-C14</f>
        <v>0.34169276627238143</v>
      </c>
    </row>
    <row r="20" spans="2:3" ht="29.1" customHeight="1">
      <c r="B20" s="26" t="s">
        <v>31</v>
      </c>
      <c r="C20" s="27">
        <f>1-C15</f>
        <v>0.68735650973179585</v>
      </c>
    </row>
    <row r="21" spans="2:3" ht="29.1" customHeight="1">
      <c r="B21" s="26" t="s">
        <v>32</v>
      </c>
      <c r="C21" s="27">
        <f>1-C16</f>
        <v>0.89324859610098728</v>
      </c>
    </row>
    <row r="23" spans="2:3">
      <c r="C23" s="37"/>
    </row>
    <row r="24" spans="2:3">
      <c r="C24" s="36"/>
    </row>
    <row r="25" spans="2:3">
      <c r="C25" s="36"/>
    </row>
    <row r="26" spans="2:3">
      <c r="C26" s="36"/>
    </row>
    <row r="27" spans="2:3">
      <c r="C27" s="36"/>
    </row>
    <row r="28" spans="2:3">
      <c r="C28" s="36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6D68-4AF1-2842-BF03-D3EF9A2CD30C}">
  <dimension ref="C1:E15"/>
  <sheetViews>
    <sheetView showGridLines="0" showRowColHeaders="0" tabSelected="1" zoomScale="120" zoomScaleNormal="120" zoomScaleSheetLayoutView="130" workbookViewId="0">
      <selection activeCell="H8" sqref="H8"/>
    </sheetView>
  </sheetViews>
  <sheetFormatPr defaultColWidth="10.875" defaultRowHeight="18.95"/>
  <cols>
    <col min="1" max="1" width="10.875" style="5"/>
    <col min="2" max="2" width="16.375" style="5" customWidth="1"/>
    <col min="3" max="3" width="71.375" style="5" customWidth="1"/>
    <col min="4" max="4" width="27.625" style="5" customWidth="1"/>
    <col min="5" max="5" width="18.5" style="5" customWidth="1"/>
    <col min="6" max="7" width="0" style="5" hidden="1" customWidth="1"/>
    <col min="8" max="16384" width="10.875" style="5"/>
  </cols>
  <sheetData>
    <row r="1" spans="3:5" ht="95.1" customHeight="1" thickBot="1">
      <c r="C1" s="54" t="s">
        <v>0</v>
      </c>
      <c r="D1" s="54"/>
    </row>
    <row r="2" spans="3:5" ht="24.95" thickTop="1">
      <c r="C2" s="13"/>
      <c r="D2" s="13"/>
    </row>
    <row r="3" spans="3:5" s="6" customFormat="1" ht="27.95" customHeight="1">
      <c r="C3" s="48" t="s">
        <v>1</v>
      </c>
      <c r="D3" s="40" t="s">
        <v>2</v>
      </c>
      <c r="E3"/>
    </row>
    <row r="4" spans="3:5" ht="27" customHeight="1">
      <c r="C4" s="49" t="s">
        <v>4</v>
      </c>
      <c r="D4" s="53">
        <v>50</v>
      </c>
    </row>
    <row r="5" spans="3:5" ht="33" customHeight="1">
      <c r="C5" s="49" t="s">
        <v>5</v>
      </c>
      <c r="D5" s="53" t="s">
        <v>33</v>
      </c>
    </row>
    <row r="6" spans="3:5" ht="27" customHeight="1">
      <c r="C6" s="49" t="s">
        <v>7</v>
      </c>
      <c r="D6" s="53">
        <v>160</v>
      </c>
      <c r="E6"/>
    </row>
    <row r="7" spans="3:5" ht="27" customHeight="1">
      <c r="C7" s="50" t="s">
        <v>8</v>
      </c>
      <c r="D7" s="53" t="s">
        <v>9</v>
      </c>
    </row>
    <row r="8" spans="3:5" ht="27" customHeight="1">
      <c r="C8" s="50" t="s">
        <v>10</v>
      </c>
      <c r="D8" s="53" t="s">
        <v>9</v>
      </c>
    </row>
    <row r="9" spans="3:5" ht="27" customHeight="1">
      <c r="C9" s="49" t="s">
        <v>13</v>
      </c>
      <c r="D9" s="53" t="s">
        <v>34</v>
      </c>
    </row>
    <row r="10" spans="3:5" ht="27" customHeight="1">
      <c r="C10" s="49" t="s">
        <v>15</v>
      </c>
      <c r="D10" s="53">
        <v>150</v>
      </c>
    </row>
    <row r="11" spans="3:5" ht="27" customHeight="1">
      <c r="C11" s="51" t="s">
        <v>21</v>
      </c>
      <c r="D11" s="38"/>
    </row>
    <row r="12" spans="3:5" ht="33.950000000000003" customHeight="1">
      <c r="C12" s="52" t="s">
        <v>17</v>
      </c>
      <c r="D12" s="39">
        <f>Origin_Men_FG!F24</f>
        <v>2.4749802731071413E-2</v>
      </c>
    </row>
    <row r="13" spans="3:5" ht="33.950000000000003" customHeight="1">
      <c r="C13" s="52" t="s">
        <v>18</v>
      </c>
      <c r="D13" s="39">
        <f>Origin_Men_FG!F25</f>
        <v>3.7016778128151295E-2</v>
      </c>
    </row>
    <row r="14" spans="3:5" ht="33.950000000000003" customHeight="1">
      <c r="C14" s="52" t="s">
        <v>19</v>
      </c>
      <c r="D14" s="39">
        <f>Origin_Men_FG!F26</f>
        <v>7.8322806350540231E-2</v>
      </c>
    </row>
    <row r="15" spans="3:5" ht="33.950000000000003" customHeight="1">
      <c r="C15" s="52" t="s">
        <v>20</v>
      </c>
      <c r="D15" s="39">
        <f>Origin_Men_FG!F27</f>
        <v>0.12917694503160415</v>
      </c>
    </row>
  </sheetData>
  <sheetProtection algorithmName="SHA-512" hashValue="zvEtKj6yLoL/8QSIOSfdu/tuQ7G0fo8V5BIfKj+5vHAH2F3xOC01fXBs/QWEQJviHhg7PV3j+t/cJuWBtiUztQ==" saltValue="KnOMtV+Ol5bj3cbDNVWsNw==" spinCount="100000" sheet="1" objects="1" scenarios="1"/>
  <mergeCells count="1">
    <mergeCell ref="C1:D1"/>
  </mergeCells>
  <pageMargins left="0.25" right="0.25" top="0.75" bottom="0.75" header="0.3" footer="0.3"/>
  <pageSetup paperSize="9" orientation="landscape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4FDBC6A-D3ED-4547-B449-DDD230ABEC97}">
          <x14:formula1>
            <xm:f>List!$D$2:$D$6</xm:f>
          </x14:formula1>
          <xm:sqref>D9</xm:sqref>
        </x14:dataValidation>
        <x14:dataValidation type="list" allowBlank="1" showInputMessage="1" showErrorMessage="1" xr:uid="{22E1F90D-D261-FE48-BF50-97F537EB1B1C}">
          <x14:formula1>
            <xm:f>List!$C$2:$C$3</xm:f>
          </x14:formula1>
          <xm:sqref>D7:D8</xm:sqref>
        </x14:dataValidation>
        <x14:dataValidation type="list" allowBlank="1" showInputMessage="1" showErrorMessage="1" xr:uid="{81798F8D-3F43-E842-8E30-A855475CE279}">
          <x14:formula1>
            <xm:f>List!$B$2:$B$4</xm:f>
          </x14:formula1>
          <xm:sqref>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A48A-B383-1D40-AA9D-7D0E0A7251A0}">
  <dimension ref="B1:J28"/>
  <sheetViews>
    <sheetView topLeftCell="C1" workbookViewId="0">
      <selection activeCell="K14" sqref="K14:L14"/>
    </sheetView>
  </sheetViews>
  <sheetFormatPr defaultColWidth="10.875" defaultRowHeight="18.95"/>
  <cols>
    <col min="1" max="1" width="10.375" style="1" customWidth="1"/>
    <col min="2" max="2" width="63.5" style="1" customWidth="1"/>
    <col min="3" max="3" width="41.5" style="1" customWidth="1"/>
    <col min="4" max="4" width="22.625" style="1" customWidth="1"/>
    <col min="5" max="5" width="21.875" style="1" customWidth="1"/>
    <col min="6" max="6" width="23" style="1" customWidth="1"/>
    <col min="7" max="7" width="18" style="1" customWidth="1"/>
    <col min="8" max="16384" width="10.875" style="1"/>
  </cols>
  <sheetData>
    <row r="1" spans="2:9" ht="95.1" customHeight="1" thickBot="1">
      <c r="B1" s="55" t="s">
        <v>22</v>
      </c>
      <c r="C1" s="55"/>
      <c r="D1" s="14"/>
    </row>
    <row r="2" spans="2:9" ht="42" customHeight="1" thickTop="1">
      <c r="B2" s="15"/>
      <c r="C2" s="15"/>
      <c r="D2" s="14"/>
    </row>
    <row r="3" spans="2:9" s="16" customFormat="1" ht="33.950000000000003" customHeight="1">
      <c r="B3" s="17" t="s">
        <v>1</v>
      </c>
      <c r="C3" s="18" t="s">
        <v>2</v>
      </c>
      <c r="D3" s="19" t="s">
        <v>23</v>
      </c>
      <c r="F3" s="16" t="s">
        <v>3</v>
      </c>
    </row>
    <row r="4" spans="2:9" ht="32.1" customHeight="1">
      <c r="B4" s="2" t="s">
        <v>24</v>
      </c>
      <c r="C4" s="3">
        <f>'PREDICT Form_Men_FG Model'!D4</f>
        <v>50</v>
      </c>
      <c r="D4" s="20">
        <f>0.2149911*($C$4/5 - 10.97038073)</f>
        <v>-0.20862322056150309</v>
      </c>
      <c r="E4" s="20"/>
      <c r="F4" s="20"/>
      <c r="G4" s="21"/>
    </row>
    <row r="5" spans="2:9" ht="32.1" customHeight="1">
      <c r="B5" s="2" t="s">
        <v>5</v>
      </c>
      <c r="C5" s="3" t="str">
        <f>'PREDICT Form_Men_FG Model'!D5</f>
        <v>Currently married</v>
      </c>
      <c r="D5" s="20" cm="1">
        <f t="array" ref="D5">_xlfn.IFS($C$5="Single/Never married", (1*0), $C$5="Currently married",  (1*0.7749006), $C$5="Separated/Divorced/Widowed/Unknown", (1*0.5484309))</f>
        <v>0.77490060000000005</v>
      </c>
      <c r="E5" s="20"/>
      <c r="F5" s="20"/>
      <c r="G5" s="21"/>
    </row>
    <row r="6" spans="2:9" ht="32.1" customHeight="1">
      <c r="B6" s="2" t="s">
        <v>7</v>
      </c>
      <c r="C6" s="3">
        <f>'PREDICT Form_Men_FG Model'!D6</f>
        <v>160</v>
      </c>
      <c r="D6" s="20">
        <f>(0.0343422*((($C$6/10)^3)-5570.988705)) + (-0.0107361*(((($C$6/10)^3)*LN($C$6/10)) - 16017.20129))</f>
        <v>-0.61685327759654029</v>
      </c>
      <c r="E6" s="20"/>
      <c r="F6" s="20"/>
    </row>
    <row r="7" spans="2:9" ht="32.1" customHeight="1">
      <c r="B7" s="4" t="s">
        <v>8</v>
      </c>
      <c r="C7" s="3" t="str">
        <f>'PREDICT Form_Men_FG Model'!D7</f>
        <v>No</v>
      </c>
      <c r="D7" s="20">
        <f>-0.4553684 * IF($C$7="Yes", 1, 0)</f>
        <v>0</v>
      </c>
      <c r="E7" s="20"/>
      <c r="F7" s="20"/>
      <c r="G7" s="21"/>
    </row>
    <row r="8" spans="2:9" ht="32.1" customHeight="1">
      <c r="B8" s="4" t="s">
        <v>10</v>
      </c>
      <c r="C8" s="3" t="str">
        <f>'PREDICT Form_Men_FG Model'!D8</f>
        <v>No</v>
      </c>
      <c r="D8" s="20">
        <f>0.2046508* IF($C$8="Yes", 1, 0)</f>
        <v>0</v>
      </c>
      <c r="E8" s="20"/>
      <c r="F8" s="20"/>
      <c r="G8" s="21"/>
    </row>
    <row r="9" spans="2:9" ht="32.1" customHeight="1">
      <c r="B9" s="2" t="s">
        <v>13</v>
      </c>
      <c r="C9" s="3" t="str">
        <f>'PREDICT Form_Men_FG Model'!D9</f>
        <v>Rectum</v>
      </c>
      <c r="D9" s="20" cm="1">
        <f t="array" ref="D9">_xlfn.IFS($C$9="Proximal Colon", (1*0.2589876), $C$9="Distal Colon",  (1*0.2457637), $C$9="Unspecified site of colon", (1*0.7585319),  $C$9="More than one site", (1*0), $C$9="Rectum", (1*0))</f>
        <v>0</v>
      </c>
      <c r="E9" s="20"/>
      <c r="F9" s="20"/>
      <c r="G9" s="21"/>
    </row>
    <row r="10" spans="2:9" ht="32.1" customHeight="1">
      <c r="B10" s="2" t="s">
        <v>15</v>
      </c>
      <c r="C10" s="3">
        <f>'PREDICT Form_Men_FG Model'!D10</f>
        <v>150</v>
      </c>
      <c r="D10" s="20">
        <f>0.0861381* ($C$10/12)</f>
        <v>1.0767262499999999</v>
      </c>
      <c r="E10" s="20"/>
      <c r="F10" s="20"/>
    </row>
    <row r="11" spans="2:9">
      <c r="D11" s="20">
        <f>SUM(D4:D10)</f>
        <v>1.0261503518419566</v>
      </c>
      <c r="E11" s="20"/>
    </row>
    <row r="12" spans="2:9">
      <c r="D12" s="20">
        <f>0.9325204 * D11</f>
        <v>0.95690613655980206</v>
      </c>
      <c r="E12" s="20"/>
    </row>
    <row r="13" spans="2:9">
      <c r="D13" s="20"/>
      <c r="E13" s="20"/>
      <c r="F13" s="34" t="s">
        <v>35</v>
      </c>
    </row>
    <row r="14" spans="2:9">
      <c r="C14" s="34" t="s">
        <v>36</v>
      </c>
      <c r="D14" s="35" t="s">
        <v>37</v>
      </c>
      <c r="E14" s="20"/>
      <c r="F14" s="34" t="s">
        <v>36</v>
      </c>
      <c r="G14" s="35" t="s">
        <v>37</v>
      </c>
      <c r="H14" s="35" t="s">
        <v>38</v>
      </c>
      <c r="I14" s="34" t="s">
        <v>39</v>
      </c>
    </row>
    <row r="15" spans="2:9" ht="24">
      <c r="C15" s="34"/>
      <c r="D15" s="35"/>
      <c r="E15" s="20"/>
      <c r="F15" s="23">
        <f>(0)*EXP($D$12)</f>
        <v>0</v>
      </c>
      <c r="G15" s="33">
        <f>(0)*EXP($D$12)</f>
        <v>0</v>
      </c>
      <c r="H15" s="33">
        <f>(0)*EXP($D$12)</f>
        <v>0</v>
      </c>
      <c r="I15" s="33">
        <f>(0)*EXP($D$12)</f>
        <v>0</v>
      </c>
    </row>
    <row r="16" spans="2:9" ht="24">
      <c r="C16" s="34"/>
      <c r="D16" s="35"/>
      <c r="E16" s="20"/>
      <c r="F16" s="23">
        <f>(0.00222)*EXP($D$12)</f>
        <v>5.7800557758802013E-3</v>
      </c>
      <c r="G16" s="33">
        <f>(0.0020442)*EXP($D$12)</f>
        <v>5.3223378455199578E-3</v>
      </c>
      <c r="H16" s="33">
        <f>(0.0020421)*EXP($D$12)</f>
        <v>5.3168702251914224E-3</v>
      </c>
      <c r="I16" s="33">
        <f>(0.0022176)*EXP($D$12)</f>
        <v>5.7738070669333032E-3</v>
      </c>
    </row>
    <row r="17" spans="2:10" ht="24">
      <c r="B17" s="22" t="s">
        <v>25</v>
      </c>
      <c r="C17" s="23">
        <f>(1-0.0096255)^EXP($D$12)</f>
        <v>0.9751318158742891</v>
      </c>
      <c r="D17" s="23">
        <f>(1-0.0088648)^EXP($D$12)</f>
        <v>0.97708311466338438</v>
      </c>
      <c r="F17" s="23">
        <f>(0.0096255)*EXP($D$12)</f>
        <v>2.5061228320150845E-2</v>
      </c>
      <c r="G17" s="33">
        <f>(0.0088648)*EXP($D$12)</f>
        <v>2.308064794685712E-2</v>
      </c>
      <c r="H17" s="33">
        <f>(0.0088256)*EXP($D$12)</f>
        <v>2.2978585700724457E-2</v>
      </c>
      <c r="I17" s="33">
        <f>(0.0095793)*EXP($D$12)</f>
        <v>2.4940940672923066E-2</v>
      </c>
    </row>
    <row r="18" spans="2:10" ht="29.1" customHeight="1">
      <c r="B18" s="22" t="s">
        <v>26</v>
      </c>
      <c r="C18" s="23">
        <f>(1-0.0144872)^EXP($D$12)</f>
        <v>0.9627175798376254</v>
      </c>
      <c r="D18" s="23">
        <f>(1-0.0134432)^EXP($D$12)</f>
        <v>0.96537515158443976</v>
      </c>
      <c r="F18" s="23">
        <f>(0.0144872)*EXP($D$12)</f>
        <v>3.7719290106455694E-2</v>
      </c>
      <c r="G18" s="33">
        <f>(0.0134432)*EXP($D$12)</f>
        <v>3.5001101714555276E-2</v>
      </c>
      <c r="H18" s="33">
        <f>(0.0133532)*EXP($D$12)</f>
        <v>3.476677512904662E-2</v>
      </c>
      <c r="I18" s="33">
        <f>(0.0144872)*EXP($D$12)</f>
        <v>3.7719290106455694E-2</v>
      </c>
    </row>
    <row r="19" spans="2:10" ht="29.1" customHeight="1">
      <c r="B19" s="22" t="s">
        <v>27</v>
      </c>
      <c r="C19" s="23">
        <f>(1-0.0313256)^EXP($D$12)</f>
        <v>0.92047538942644758</v>
      </c>
      <c r="D19" s="23">
        <f>(1-0.0293494)^EXP($D$12)</f>
        <v>0.92537266376063965</v>
      </c>
      <c r="F19" s="23">
        <f>(0.0313256)*EXP($D$12)</f>
        <v>8.1560232077888664E-2</v>
      </c>
      <c r="G19" s="33">
        <f>(0.0293494)*EXP($D$12)</f>
        <v>7.6414940985864127E-2</v>
      </c>
      <c r="H19" s="33">
        <f>(0.0289229)*EXP($D$12)</f>
        <v>7.5304493333425884E-2</v>
      </c>
      <c r="I19" s="33">
        <f>(0.0313256)*EXP($D$12)</f>
        <v>8.1560232077888664E-2</v>
      </c>
    </row>
    <row r="20" spans="2:10" ht="29.1" customHeight="1">
      <c r="B20" s="22" t="s">
        <v>28</v>
      </c>
      <c r="C20" s="23">
        <f>(1-0.0531245)^EXP($D$12)</f>
        <v>0.86751193825894601</v>
      </c>
      <c r="D20" s="23">
        <f>(1-0.0503834)^EXP($D$12)</f>
        <v>0.87406575059069469</v>
      </c>
      <c r="F20" s="23">
        <f>(0.0531245)*EXP($D$12)</f>
        <v>0.1383164743539404</v>
      </c>
      <c r="G20" s="33">
        <f>(0.0503834)*EXP($D$12)</f>
        <v>0.1311796676479651</v>
      </c>
      <c r="H20" s="33">
        <f>(0.0491353)*EXP($D$12)</f>
        <v>0.12793007863270558</v>
      </c>
      <c r="I20" s="33">
        <f>(0.0531245)*EXP($D$12)</f>
        <v>0.1383164743539404</v>
      </c>
    </row>
    <row r="21" spans="2:10" ht="29.1" customHeight="1">
      <c r="B21" s="24"/>
      <c r="C21" s="25"/>
      <c r="D21" s="25"/>
      <c r="F21" s="34" t="s">
        <v>40</v>
      </c>
      <c r="G21" s="25"/>
      <c r="H21" s="25"/>
      <c r="I21" s="25"/>
    </row>
    <row r="22" spans="2:10" ht="29.1" customHeight="1">
      <c r="B22" s="24"/>
      <c r="C22" s="25"/>
      <c r="D22" s="25"/>
      <c r="E22" s="1">
        <v>0</v>
      </c>
      <c r="F22" s="27">
        <f t="shared" ref="F22:I24" si="0">1- EXP(-F15)</f>
        <v>0</v>
      </c>
      <c r="G22" s="27">
        <f t="shared" si="0"/>
        <v>0</v>
      </c>
      <c r="H22" s="27">
        <f t="shared" si="0"/>
        <v>0</v>
      </c>
      <c r="I22" s="27">
        <f t="shared" si="0"/>
        <v>0</v>
      </c>
      <c r="J22" s="27"/>
    </row>
    <row r="23" spans="2:10" ht="29.1" customHeight="1">
      <c r="B23" s="24"/>
      <c r="C23" s="25"/>
      <c r="D23" s="25"/>
      <c r="E23" s="1">
        <v>1</v>
      </c>
      <c r="F23" s="27">
        <f t="shared" si="0"/>
        <v>5.7633833913979249E-3</v>
      </c>
      <c r="G23" s="27">
        <f t="shared" si="0"/>
        <v>5.3081992999423067E-3</v>
      </c>
      <c r="H23" s="27">
        <f t="shared" si="0"/>
        <v>5.3027606879640921E-3</v>
      </c>
      <c r="I23" s="27">
        <f t="shared" si="0"/>
        <v>5.7571706767457487E-3</v>
      </c>
    </row>
    <row r="24" spans="2:10" ht="29.1" customHeight="1">
      <c r="B24" s="26" t="s">
        <v>29</v>
      </c>
      <c r="C24" s="27">
        <f t="shared" ref="C24:D27" si="1">1-C17</f>
        <v>2.4868184125710902E-2</v>
      </c>
      <c r="D24" s="27">
        <f t="shared" si="1"/>
        <v>2.2916885336615622E-2</v>
      </c>
      <c r="E24" s="1">
        <v>3</v>
      </c>
      <c r="F24" s="27">
        <f t="shared" si="0"/>
        <v>2.4749802731071413E-2</v>
      </c>
      <c r="G24" s="27">
        <f t="shared" si="0"/>
        <v>2.2816327261562908E-2</v>
      </c>
      <c r="H24" s="27">
        <f t="shared" si="0"/>
        <v>2.2716588611350286E-2</v>
      </c>
      <c r="I24" s="27">
        <f t="shared" si="0"/>
        <v>2.4632485123595504E-2</v>
      </c>
    </row>
    <row r="25" spans="2:10" ht="29.1" customHeight="1">
      <c r="B25" s="26" t="s">
        <v>30</v>
      </c>
      <c r="C25" s="27">
        <f t="shared" si="1"/>
        <v>3.7282420162374597E-2</v>
      </c>
      <c r="D25" s="27">
        <f t="shared" si="1"/>
        <v>3.4624848415560239E-2</v>
      </c>
      <c r="E25" s="1">
        <v>5</v>
      </c>
      <c r="F25" s="27">
        <f>1- EXP(-F18)</f>
        <v>3.7016778128151295E-2</v>
      </c>
      <c r="G25" s="27">
        <f t="shared" ref="G25" si="2">1- EXP(-G18)</f>
        <v>3.4395647563389198E-2</v>
      </c>
      <c r="H25" s="27">
        <f t="shared" ref="H25:I27" si="3">1- EXP(-H18)</f>
        <v>3.4169354280299769E-2</v>
      </c>
      <c r="I25" s="27">
        <f t="shared" si="3"/>
        <v>3.7016778128151295E-2</v>
      </c>
    </row>
    <row r="26" spans="2:10" ht="29.1" customHeight="1">
      <c r="B26" s="26" t="s">
        <v>31</v>
      </c>
      <c r="C26" s="27">
        <f t="shared" si="1"/>
        <v>7.9524610573552423E-2</v>
      </c>
      <c r="D26" s="27">
        <f t="shared" si="1"/>
        <v>7.4627336239360353E-2</v>
      </c>
      <c r="E26" s="1">
        <v>10</v>
      </c>
      <c r="F26" s="27">
        <f>1- EXP(-F19)</f>
        <v>7.8322806350540231E-2</v>
      </c>
      <c r="G26" s="27">
        <f t="shared" ref="G26" si="4">1- EXP(-G19)</f>
        <v>7.3568287694353307E-2</v>
      </c>
      <c r="H26" s="27">
        <f t="shared" si="3"/>
        <v>7.2538962374107618E-2</v>
      </c>
      <c r="I26" s="27">
        <f t="shared" si="3"/>
        <v>7.8322806350540231E-2</v>
      </c>
    </row>
    <row r="27" spans="2:10" ht="24">
      <c r="B27" s="26" t="s">
        <v>32</v>
      </c>
      <c r="C27" s="27">
        <f t="shared" si="1"/>
        <v>0.13248806174105399</v>
      </c>
      <c r="D27" s="27">
        <f t="shared" si="1"/>
        <v>0.12593424940930531</v>
      </c>
      <c r="E27" s="1">
        <v>15</v>
      </c>
      <c r="F27" s="27">
        <f>1- EXP(-F20)</f>
        <v>0.12917694503160415</v>
      </c>
      <c r="G27" s="27">
        <f t="shared" ref="G27" si="5">1- EXP(-G20)</f>
        <v>0.12293981910558405</v>
      </c>
      <c r="H27" s="27">
        <f t="shared" si="3"/>
        <v>0.12008509815321711</v>
      </c>
      <c r="I27" s="27">
        <f t="shared" si="3"/>
        <v>0.12917694503160415</v>
      </c>
    </row>
    <row r="28" spans="2:10" ht="24">
      <c r="C28" s="27"/>
    </row>
  </sheetData>
  <mergeCells count="1">
    <mergeCell ref="B1:C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44CE-873B-7B4E-A2C1-B42A16FFDD2B}">
  <dimension ref="A1:E6"/>
  <sheetViews>
    <sheetView workbookViewId="0">
      <selection activeCell="D4" sqref="D4"/>
    </sheetView>
  </sheetViews>
  <sheetFormatPr defaultColWidth="10.875" defaultRowHeight="15.95"/>
  <cols>
    <col min="1" max="1" width="10.875" style="28"/>
    <col min="2" max="2" width="33.5" style="28" customWidth="1"/>
    <col min="3" max="3" width="10.875" style="28"/>
    <col min="4" max="4" width="21.5" style="28" customWidth="1"/>
    <col min="5" max="16384" width="10.875" style="28"/>
  </cols>
  <sheetData>
    <row r="1" spans="1:5">
      <c r="A1" s="30" t="s">
        <v>41</v>
      </c>
      <c r="B1" s="30" t="s">
        <v>42</v>
      </c>
      <c r="C1" s="30" t="s">
        <v>43</v>
      </c>
      <c r="D1" s="30" t="s">
        <v>44</v>
      </c>
      <c r="E1" s="30"/>
    </row>
    <row r="2" spans="1:5">
      <c r="A2" s="29" t="s">
        <v>45</v>
      </c>
      <c r="B2" s="28" t="s">
        <v>46</v>
      </c>
      <c r="C2" s="28" t="s">
        <v>11</v>
      </c>
      <c r="D2" s="28" t="s">
        <v>47</v>
      </c>
    </row>
    <row r="3" spans="1:5">
      <c r="A3" s="29" t="s">
        <v>48</v>
      </c>
      <c r="B3" s="28" t="s">
        <v>33</v>
      </c>
      <c r="C3" s="28" t="s">
        <v>9</v>
      </c>
      <c r="D3" s="28" t="s">
        <v>14</v>
      </c>
    </row>
    <row r="4" spans="1:5">
      <c r="B4" s="28" t="s">
        <v>6</v>
      </c>
      <c r="D4" s="28" t="s">
        <v>49</v>
      </c>
    </row>
    <row r="5" spans="1:5">
      <c r="D5" s="28" t="s">
        <v>50</v>
      </c>
    </row>
    <row r="6" spans="1:5">
      <c r="D6" s="28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4C538E5BD0C4586FEECAD6E1C9A22" ma:contentTypeVersion="14" ma:contentTypeDescription="Create a new document." ma:contentTypeScope="" ma:versionID="d33a7410588a8a34d1cc8014da66847b">
  <xsd:schema xmlns:xsd="http://www.w3.org/2001/XMLSchema" xmlns:xs="http://www.w3.org/2001/XMLSchema" xmlns:p="http://schemas.microsoft.com/office/2006/metadata/properties" xmlns:ns2="ddffc58f-3ba8-4eb4-9f5a-ef36cac80a0e" xmlns:ns3="06698187-7c50-4ba6-ad56-5fc1e66771f1" targetNamespace="http://schemas.microsoft.com/office/2006/metadata/properties" ma:root="true" ma:fieldsID="cf7e2b19bed1d93fc280119ba4fe8ee9" ns2:_="" ns3:_="">
    <xsd:import namespace="ddffc58f-3ba8-4eb4-9f5a-ef36cac80a0e"/>
    <xsd:import namespace="06698187-7c50-4ba6-ad56-5fc1e6677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fc58f-3ba8-4eb4-9f5a-ef36cac80a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698187-7c50-4ba6-ad56-5fc1e66771f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ffc58f-3ba8-4eb4-9f5a-ef36cac80a0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A21C9D-BA64-477C-8822-5C01B029A7EA}"/>
</file>

<file path=customXml/itemProps2.xml><?xml version="1.0" encoding="utf-8"?>
<ds:datastoreItem xmlns:ds="http://schemas.openxmlformats.org/officeDocument/2006/customXml" ds:itemID="{7F3F0ACE-E3FF-454D-8CEF-6D4E162B8B20}"/>
</file>

<file path=customXml/itemProps3.xml><?xml version="1.0" encoding="utf-8"?>
<ds:datastoreItem xmlns:ds="http://schemas.openxmlformats.org/officeDocument/2006/customXml" ds:itemID="{3B4958A4-6190-4951-AEAD-44C40688F6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 Kyaw Aung</dc:creator>
  <cp:keywords/>
  <dc:description/>
  <cp:lastModifiedBy>Ye Kyaw Aung</cp:lastModifiedBy>
  <cp:revision/>
  <dcterms:created xsi:type="dcterms:W3CDTF">2024-06-13T04:20:45Z</dcterms:created>
  <dcterms:modified xsi:type="dcterms:W3CDTF">2025-07-31T05:09:31Z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0x0101004C44C538E5BD0C4586FEECAD6E1C9A22</vt:lpwstr>
  </property>
  <property fmtid="{D5CDD505-2E9C-101B-9397-08002B2CF9AE}" pid="3" name="MediaServiceImageTags">
    <vt:lpwstr/>
  </property>
</Properties>
</file>