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Sifat\Projects\Excel Projects\Maven Toys Monthly Sales Analysis\"/>
    </mc:Choice>
  </mc:AlternateContent>
  <xr:revisionPtr revIDLastSave="0" documentId="13_ncr:1_{297B9EF3-FED2-4156-A1B2-5C98BEF67DB7}" xr6:coauthVersionLast="47" xr6:coauthVersionMax="47" xr10:uidLastSave="{00000000-0000-0000-0000-000000000000}"/>
  <bookViews>
    <workbookView xWindow="-110" yWindow="-110" windowWidth="19420" windowHeight="1150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Data!$A$1:$J$4266</definedName>
    <definedName name="CurMonth">'Data Prep'!$C$12</definedName>
    <definedName name="CurYear">'Data Prep'!$C$11</definedName>
    <definedName name="PMonth">'Data Prep'!$C$14</definedName>
    <definedName name="PMYEAR">'Data Prep'!$C$15</definedName>
    <definedName name="PYear">'Data Prep'!$C$13</definedName>
    <definedName name="Region">'Data Prep'!$C$6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2" l="1"/>
  <c r="C6" i="22"/>
  <c r="C11" i="22"/>
  <c r="C12" i="22" s="1"/>
  <c r="C14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V4" i="22" l="1"/>
  <c r="K4" i="22"/>
  <c r="K7" i="22"/>
  <c r="K6" i="22"/>
  <c r="K5" i="22"/>
  <c r="V26" i="22"/>
  <c r="V25" i="22"/>
  <c r="V15" i="22"/>
  <c r="V13" i="22"/>
  <c r="V24" i="22"/>
  <c r="V23" i="22"/>
  <c r="V40" i="22"/>
  <c r="K14" i="22"/>
  <c r="V39" i="22"/>
  <c r="V38" i="22"/>
  <c r="V37" i="22"/>
  <c r="K11" i="22"/>
  <c r="V36" i="22"/>
  <c r="K10" i="22"/>
  <c r="V29" i="22"/>
  <c r="V11" i="22"/>
  <c r="V41" i="22"/>
  <c r="K15" i="22"/>
  <c r="V17" i="22"/>
  <c r="V16" i="22"/>
  <c r="K13" i="22"/>
  <c r="K12" i="22"/>
  <c r="V14" i="22"/>
  <c r="V12" i="22"/>
  <c r="K9" i="22"/>
  <c r="V28" i="22"/>
  <c r="V5" i="22"/>
  <c r="K8" i="22"/>
  <c r="V27" i="22"/>
  <c r="V35" i="22"/>
  <c r="V33" i="22"/>
  <c r="V21" i="22"/>
  <c r="V9" i="22"/>
  <c r="V44" i="22"/>
  <c r="V32" i="22"/>
  <c r="V20" i="22"/>
  <c r="V8" i="22"/>
  <c r="V43" i="22"/>
  <c r="V31" i="22"/>
  <c r="V19" i="22"/>
  <c r="V7" i="22"/>
  <c r="V34" i="22"/>
  <c r="V22" i="22"/>
  <c r="V10" i="22"/>
  <c r="V42" i="22"/>
  <c r="V30" i="22"/>
  <c r="V18" i="22"/>
  <c r="V6" i="22"/>
  <c r="P5" i="22"/>
  <c r="F7" i="22"/>
  <c r="C15" i="22"/>
  <c r="Q8" i="22" s="1"/>
  <c r="P6" i="22"/>
  <c r="Q6" i="22"/>
  <c r="P4" i="22"/>
  <c r="Q4" i="22"/>
  <c r="P13" i="22"/>
  <c r="P12" i="22"/>
  <c r="P11" i="22"/>
  <c r="P10" i="22"/>
  <c r="P9" i="22"/>
  <c r="P8" i="22"/>
  <c r="P7" i="22"/>
  <c r="L15" i="22"/>
  <c r="L14" i="22"/>
  <c r="L4" i="22"/>
  <c r="L13" i="22"/>
  <c r="L12" i="22"/>
  <c r="L11" i="22"/>
  <c r="L10" i="22"/>
  <c r="L9" i="22"/>
  <c r="L8" i="22"/>
  <c r="L7" i="22"/>
  <c r="L6" i="22"/>
  <c r="L5" i="22"/>
  <c r="F5" i="22"/>
  <c r="C13" i="22"/>
  <c r="F6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F8" i="22" l="1"/>
  <c r="Q7" i="22"/>
  <c r="R7" i="22" s="1"/>
  <c r="W12" i="22"/>
  <c r="X12" i="22" s="1"/>
  <c r="W24" i="22"/>
  <c r="X24" i="22" s="1"/>
  <c r="W36" i="22"/>
  <c r="X36" i="22" s="1"/>
  <c r="W16" i="22"/>
  <c r="X16" i="22" s="1"/>
  <c r="W28" i="22"/>
  <c r="X28" i="22" s="1"/>
  <c r="W40" i="22"/>
  <c r="X40" i="22" s="1"/>
  <c r="W13" i="22"/>
  <c r="X13" i="22" s="1"/>
  <c r="W25" i="22"/>
  <c r="X25" i="22" s="1"/>
  <c r="W37" i="22"/>
  <c r="X37" i="22" s="1"/>
  <c r="W17" i="22"/>
  <c r="X17" i="22" s="1"/>
  <c r="W41" i="22"/>
  <c r="X41" i="22" s="1"/>
  <c r="W6" i="22"/>
  <c r="X6" i="22" s="1"/>
  <c r="W18" i="22"/>
  <c r="X18" i="22" s="1"/>
  <c r="W30" i="22"/>
  <c r="X30" i="22" s="1"/>
  <c r="W42" i="22"/>
  <c r="X42" i="22" s="1"/>
  <c r="W8" i="22"/>
  <c r="X8" i="22" s="1"/>
  <c r="W20" i="22"/>
  <c r="X20" i="22" s="1"/>
  <c r="W32" i="22"/>
  <c r="X32" i="22" s="1"/>
  <c r="W44" i="22"/>
  <c r="X44" i="22" s="1"/>
  <c r="W9" i="22"/>
  <c r="X9" i="22" s="1"/>
  <c r="W21" i="22"/>
  <c r="X21" i="22" s="1"/>
  <c r="W33" i="22"/>
  <c r="X33" i="22" s="1"/>
  <c r="W4" i="22"/>
  <c r="X4" i="22" s="1"/>
  <c r="W23" i="22"/>
  <c r="X23" i="22" s="1"/>
  <c r="W35" i="22"/>
  <c r="X35" i="22" s="1"/>
  <c r="W14" i="22"/>
  <c r="X14" i="22" s="1"/>
  <c r="W26" i="22"/>
  <c r="X26" i="22" s="1"/>
  <c r="W38" i="22"/>
  <c r="X38" i="22" s="1"/>
  <c r="W15" i="22"/>
  <c r="X15" i="22" s="1"/>
  <c r="W27" i="22"/>
  <c r="X27" i="22" s="1"/>
  <c r="W39" i="22"/>
  <c r="X39" i="22" s="1"/>
  <c r="W5" i="22"/>
  <c r="X5" i="22" s="1"/>
  <c r="W29" i="22"/>
  <c r="X29" i="22" s="1"/>
  <c r="W7" i="22"/>
  <c r="X7" i="22" s="1"/>
  <c r="W19" i="22"/>
  <c r="X19" i="22" s="1"/>
  <c r="W31" i="22"/>
  <c r="X31" i="22" s="1"/>
  <c r="W43" i="22"/>
  <c r="X43" i="22" s="1"/>
  <c r="W10" i="22"/>
  <c r="X10" i="22" s="1"/>
  <c r="W22" i="22"/>
  <c r="X22" i="22" s="1"/>
  <c r="W34" i="22"/>
  <c r="X34" i="22" s="1"/>
  <c r="W11" i="22"/>
  <c r="X11" i="22" s="1"/>
  <c r="Q9" i="22"/>
  <c r="R9" i="22" s="1"/>
  <c r="R8" i="22"/>
  <c r="R6" i="22"/>
  <c r="Q10" i="22"/>
  <c r="R10" i="22" s="1"/>
  <c r="Q5" i="22"/>
  <c r="R5" i="22" s="1"/>
  <c r="Q11" i="22"/>
  <c r="R11" i="22" s="1"/>
  <c r="R4" i="22"/>
  <c r="Q13" i="22"/>
  <c r="R13" i="22" s="1"/>
  <c r="Q12" i="22"/>
  <c r="R12" i="22" s="1"/>
  <c r="F9" i="22"/>
  <c r="Z31" i="22" l="1"/>
  <c r="Y31" i="22"/>
  <c r="Z19" i="22"/>
  <c r="Y19" i="22"/>
  <c r="Y4" i="22"/>
  <c r="Z4" i="22"/>
  <c r="Y41" i="22"/>
  <c r="Z41" i="22"/>
  <c r="Z23" i="22"/>
  <c r="Y23" i="22"/>
  <c r="Y30" i="22"/>
  <c r="Z30" i="22"/>
  <c r="Z7" i="22"/>
  <c r="Y7" i="22"/>
  <c r="Z33" i="22"/>
  <c r="Y33" i="22"/>
  <c r="Y17" i="22"/>
  <c r="Z17" i="22"/>
  <c r="Z21" i="22"/>
  <c r="Y21" i="22"/>
  <c r="Y5" i="22"/>
  <c r="Z5" i="22"/>
  <c r="Z9" i="22"/>
  <c r="Y9" i="22"/>
  <c r="Y25" i="22"/>
  <c r="Z25" i="22"/>
  <c r="Y6" i="22"/>
  <c r="Z6" i="22"/>
  <c r="Y37" i="22"/>
  <c r="Z37" i="22"/>
  <c r="Y18" i="22"/>
  <c r="Z18" i="22"/>
  <c r="Y8" i="22"/>
  <c r="Z8" i="22"/>
  <c r="Y39" i="22"/>
  <c r="Z39" i="22"/>
  <c r="Y44" i="22"/>
  <c r="Z44" i="22"/>
  <c r="Y13" i="22"/>
  <c r="Z13" i="22"/>
  <c r="Y32" i="22"/>
  <c r="Z32" i="22"/>
  <c r="Z11" i="22"/>
  <c r="Y11" i="22"/>
  <c r="Y15" i="22"/>
  <c r="Z15" i="22"/>
  <c r="Y20" i="22"/>
  <c r="Z20" i="22"/>
  <c r="Z28" i="22"/>
  <c r="Y28" i="22"/>
  <c r="Y29" i="22"/>
  <c r="Z29" i="22"/>
  <c r="Y34" i="22"/>
  <c r="Z34" i="22"/>
  <c r="Z38" i="22"/>
  <c r="Y38" i="22"/>
  <c r="Z16" i="22"/>
  <c r="Y16" i="22"/>
  <c r="Y22" i="22"/>
  <c r="Z22" i="22"/>
  <c r="Z26" i="22"/>
  <c r="Y26" i="22"/>
  <c r="Y42" i="22"/>
  <c r="Z42" i="22"/>
  <c r="Z36" i="22"/>
  <c r="Y36" i="22"/>
  <c r="Z40" i="22"/>
  <c r="Y40" i="22"/>
  <c r="Y10" i="22"/>
  <c r="Z10" i="22"/>
  <c r="Z14" i="22"/>
  <c r="Y14" i="22"/>
  <c r="Z24" i="22"/>
  <c r="Y24" i="22"/>
  <c r="Y27" i="22"/>
  <c r="Z27" i="22"/>
  <c r="Z43" i="22"/>
  <c r="Y43" i="22"/>
  <c r="Z35" i="22"/>
  <c r="Y35" i="22"/>
  <c r="Z12" i="22"/>
  <c r="Y12" i="22"/>
  <c r="AC6" i="22" l="1"/>
  <c r="T13" i="23" s="1"/>
  <c r="AC7" i="22"/>
  <c r="T14" i="23" s="1"/>
  <c r="AE5" i="22"/>
  <c r="V12" i="23" s="1"/>
  <c r="AD4" i="22"/>
  <c r="U11" i="23" s="1"/>
  <c r="AE7" i="22"/>
  <c r="V14" i="23" s="1"/>
  <c r="AC4" i="22"/>
  <c r="T11" i="23" s="1"/>
  <c r="AE8" i="22"/>
  <c r="V15" i="23" s="1"/>
  <c r="AD6" i="22"/>
  <c r="U13" i="23" s="1"/>
  <c r="AD7" i="22"/>
  <c r="U14" i="23" s="1"/>
  <c r="AD8" i="22"/>
  <c r="U15" i="23" s="1"/>
  <c r="AC5" i="22"/>
  <c r="T12" i="23" s="1"/>
  <c r="AC8" i="22"/>
  <c r="T15" i="23" s="1"/>
  <c r="AE6" i="22"/>
  <c r="V13" i="23" s="1"/>
  <c r="AE4" i="22"/>
  <c r="V11" i="23" s="1"/>
  <c r="AD5" i="22"/>
  <c r="U12" i="23" s="1"/>
  <c r="AE13" i="22"/>
  <c r="V22" i="23" s="1"/>
  <c r="AC16" i="22"/>
  <c r="T25" i="23" s="1"/>
  <c r="AE14" i="22"/>
  <c r="V23" i="23" s="1"/>
  <c r="AC17" i="22"/>
  <c r="T26" i="23" s="1"/>
  <c r="AE16" i="22"/>
  <c r="V25" i="23" s="1"/>
  <c r="AD14" i="22"/>
  <c r="U23" i="23" s="1"/>
  <c r="AD15" i="22"/>
  <c r="U24" i="23" s="1"/>
  <c r="AD17" i="22"/>
  <c r="U26" i="23" s="1"/>
  <c r="AD13" i="22"/>
  <c r="U22" i="23" s="1"/>
  <c r="AC14" i="22"/>
  <c r="T23" i="23" s="1"/>
  <c r="AC15" i="22"/>
  <c r="T24" i="23" s="1"/>
  <c r="AE15" i="22"/>
  <c r="V24" i="23" s="1"/>
  <c r="AC13" i="22"/>
  <c r="T22" i="23" s="1"/>
  <c r="AE17" i="22"/>
  <c r="V26" i="23" s="1"/>
  <c r="AD16" i="22"/>
  <c r="U25" i="23" s="1"/>
  <c r="V27" i="23" l="1"/>
  <c r="V16" i="2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<sst xmlns="http://schemas.openxmlformats.org/spreadsheetml/2006/main" count="24201" uniqueCount="116">
  <si>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</si>
  <si>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</si>
  <si>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</si>
  <si>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</si>
  <si>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</si>
  <si>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</si>
  <si>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</si>
  <si>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</si>
  <si>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</si>
  <si>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</si>
  <si>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</si>
  <si>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</si>
  <si>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</si>
  <si>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</si>
  <si>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</si>
  <si>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</si>
  <si>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</si>
  <si>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</si>
  <si>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</si>
  <si>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</si>
  <si>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</si>
  <si>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</si>
  <si>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</si>
  <si>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</si>
  <si>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</si>
  <si>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</si>
  <si>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</si>
  <si>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</si>
  <si>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</si>
  <si>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</si>
  <si>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</si>
  <si>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</si>
  <si>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</si>
  <si>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</si>
  <si>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</si>
  <si>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</si>
  <si>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</si>
  <si>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</si>
  <si>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</si>
  <si>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</si>
  <si>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</si>
  <si>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</si>
  <si>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</si>
  <si>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</si>
  <si>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</si>
  <si>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</si>
  <si>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</si>
  <si>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</si>
  <si>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</si>
  <si>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</si>
  <si>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</si>
  <si>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</si>
  <si>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</si>
  <si>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</si>
  <si>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</si>
  <si>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</si>
  <si>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</si>
  <si>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</si>
  <si>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</si>
  <si>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</si>
  <si>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</si>
  <si>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</si>
  <si>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</si>
  <si>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</si>
  <si>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</si>
  <si>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</si>
  <si>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</si>
  <si>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</si>
  <si>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</si>
  <si>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</si>
  <si>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</si>
  <si>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</si>
  <si>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</si>
  <si>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</si>
  <si>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</si>
  <si>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</si>
  <si>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</si>
  <si>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</si>
  <si>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</t>
  </si>
  <si>
    <t>Current Month</t>
  </si>
  <si>
    <t>Previous Year</t>
  </si>
  <si>
    <t>Previous Month</t>
  </si>
  <si>
    <t>KPI</t>
  </si>
  <si>
    <t xml:space="preserve">Total Revenue </t>
  </si>
  <si>
    <t>PY Revenue</t>
  </si>
  <si>
    <t>PM Revenue</t>
  </si>
  <si>
    <t>YoY%</t>
  </si>
  <si>
    <t>MoM%</t>
  </si>
  <si>
    <t>Revenue Trend</t>
  </si>
  <si>
    <t xml:space="preserve">Month </t>
  </si>
  <si>
    <t>Month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</si>
  <si>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</si>
  <si>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</si>
  <si>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</si>
  <si>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</si>
  <si>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</si>
  <si>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</si>
  <si>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</si>
  <si>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</si>
  <si>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</si>
  <si>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</si>
  <si>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</si>
  <si>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</si>
  <si>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</si>
  <si>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>PMYEAR</t>
  </si>
  <si>
    <t>Product Permorfance</t>
  </si>
  <si>
    <t>Rank(+)</t>
  </si>
  <si>
    <t>Rank(-)</t>
  </si>
  <si>
    <t>MoM</t>
  </si>
  <si>
    <t>Top Performance Products</t>
  </si>
  <si>
    <t>Rank</t>
  </si>
  <si>
    <t>Bottom Performance Products</t>
  </si>
  <si>
    <t xml:space="preserve">Revenue </t>
  </si>
  <si>
    <t>Product</t>
  </si>
  <si>
    <t>MoM ∆</t>
  </si>
  <si>
    <t>Region: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</si>
</sst>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70" formatCode="[$$-409]#,##0_);\([$$-409]#,##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6" borderId="0" xfId="0" applyFont="1" applyFill="1"/>
    <xf numFmtId="0" fontId="0" fillId="7" borderId="1" xfId="0" applyFill="1" applyBorder="1"/>
    <xf numFmtId="0" fontId="0" fillId="0" borderId="1" xfId="0" applyBorder="1"/>
    <xf numFmtId="0" fontId="1" fillId="0" borderId="0" xfId="0" applyFont="1"/>
    <xf numFmtId="9" fontId="0" fillId="0" borderId="0" xfId="2" applyFont="1"/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65" fontId="5" fillId="8" borderId="0" xfId="2" applyNumberFormat="1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70" fontId="6" fillId="0" borderId="0" xfId="1" applyNumberFormat="1" applyFont="1" applyAlignment="1">
      <alignment horizontal="center"/>
    </xf>
    <xf numFmtId="170" fontId="7" fillId="0" borderId="0" xfId="1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70" fontId="6" fillId="0" borderId="2" xfId="1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0" xfId="0" applyFont="1"/>
    <xf numFmtId="0" fontId="8" fillId="9" borderId="0" xfId="0" applyFont="1" applyFill="1"/>
    <xf numFmtId="0" fontId="0" fillId="7" borderId="0" xfId="0" applyFill="1" applyBorder="1"/>
    <xf numFmtId="0" fontId="0" fillId="0" borderId="0" xfId="0" applyBorder="1"/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C00000"/>
      </font>
    </dxf>
    <dxf>
      <font>
        <color theme="9" tint="-0.2499465926084170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Prep'!$K$3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Prep'!$K$4:$K$15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D-42F4-862B-13A18BE9ECA2}"/>
            </c:ext>
          </c:extLst>
        </c:ser>
        <c:ser>
          <c:idx val="1"/>
          <c:order val="1"/>
          <c:tx>
            <c:strRef>
              <c:f>'Data Prep'!$L$3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Prep'!$L$4:$L$15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D-42F4-862B-13A18BE9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5183"/>
        <c:axId val="31352687"/>
      </c:lineChart>
      <c:catAx>
        <c:axId val="313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2687"/>
        <c:crosses val="autoZero"/>
        <c:auto val="1"/>
        <c:lblAlgn val="ctr"/>
        <c:lblOffset val="100"/>
        <c:noMultiLvlLbl val="0"/>
      </c:catAx>
      <c:valAx>
        <c:axId val="31352687"/>
        <c:scaling>
          <c:orientation val="minMax"/>
        </c:scaling>
        <c:delete val="0"/>
        <c:axPos val="l"/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518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41404199475065"/>
          <c:y val="5.1755371061826885E-2"/>
          <c:w val="0.74880123739836291"/>
          <c:h val="0.885947021085545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Prep'!$P$3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Prep'!$P$4:$P$13</c:f>
              <c:numCache>
                <c:formatCode>"$"#,##0</c:formatCode>
                <c:ptCount val="10"/>
                <c:pt idx="0">
                  <c:v>14836.320000000002</c:v>
                </c:pt>
                <c:pt idx="1">
                  <c:v>12894.550000000001</c:v>
                </c:pt>
                <c:pt idx="2">
                  <c:v>22817.06</c:v>
                </c:pt>
                <c:pt idx="3">
                  <c:v>20890.14</c:v>
                </c:pt>
                <c:pt idx="4">
                  <c:v>32052.109999999993</c:v>
                </c:pt>
                <c:pt idx="5">
                  <c:v>36101.759999999995</c:v>
                </c:pt>
                <c:pt idx="6">
                  <c:v>24068.03</c:v>
                </c:pt>
                <c:pt idx="7">
                  <c:v>21829.790000000008</c:v>
                </c:pt>
                <c:pt idx="8">
                  <c:v>16131.78</c:v>
                </c:pt>
                <c:pt idx="9">
                  <c:v>22152.709999999995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4C23-BB4C-507E49E89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24209375"/>
        <c:axId val="2024226431"/>
      </c:barChart>
      <c:catAx>
        <c:axId val="202420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26431"/>
        <c:crosses val="autoZero"/>
        <c:auto val="1"/>
        <c:lblAlgn val="ctr"/>
        <c:lblOffset val="100"/>
        <c:noMultiLvlLbl val="0"/>
      </c:catAx>
      <c:valAx>
        <c:axId val="2024226431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202420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3.5368126113333606E-2"/>
          <c:w val="0.81758973013778069"/>
          <c:h val="0.90182706050551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Prep'!$R$3</c:f>
              <c:strCache>
                <c:ptCount val="1"/>
                <c:pt idx="0">
                  <c:v>MoM%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Prep'!$R$4:$R$13</c:f>
              <c:numCache>
                <c:formatCode>0%</c:formatCode>
                <c:ptCount val="10"/>
                <c:pt idx="0">
                  <c:v>0.27062777215864209</c:v>
                </c:pt>
                <c:pt idx="1">
                  <c:v>0.38778064659166622</c:v>
                </c:pt>
                <c:pt idx="2">
                  <c:v>0.13137771166480761</c:v>
                </c:pt>
                <c:pt idx="3">
                  <c:v>-0.13320683521372423</c:v>
                </c:pt>
                <c:pt idx="4">
                  <c:v>0.27047933357538878</c:v>
                </c:pt>
                <c:pt idx="5">
                  <c:v>0.19364351342585118</c:v>
                </c:pt>
                <c:pt idx="6">
                  <c:v>8.5297768847375277E-2</c:v>
                </c:pt>
                <c:pt idx="7">
                  <c:v>0.23712440332117013</c:v>
                </c:pt>
                <c:pt idx="8">
                  <c:v>-0.1788871560156039</c:v>
                </c:pt>
                <c:pt idx="9">
                  <c:v>0.1474812113225703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solidFill>
                      <a:schemeClr val="accent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C7A-4F9C-9D09-83C0A2C8E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202239"/>
        <c:axId val="23200575"/>
      </c:barChart>
      <c:catAx>
        <c:axId val="23202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200575"/>
        <c:crosses val="autoZero"/>
        <c:auto val="1"/>
        <c:lblAlgn val="ctr"/>
        <c:lblOffset val="100"/>
        <c:noMultiLvlLbl val="0"/>
      </c:catAx>
      <c:valAx>
        <c:axId val="2320057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20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10</xdr:row>
      <xdr:rowOff>171450</xdr:rowOff>
    </xdr:from>
    <xdr:to>
      <xdr:col>5</xdr:col>
      <xdr:colOff>495300</xdr:colOff>
      <xdr:row>14</xdr:row>
      <xdr:rowOff>38100</xdr:rowOff>
    </xdr:to>
    <xdr:sp macro="" textlink="$F$5">
      <xdr:nvSpPr>
        <xdr:cNvPr id="2" name="TextBox 1">
          <a:extLst>
            <a:ext uri="{FF2B5EF4-FFF2-40B4-BE49-F238E27FC236}">
              <a16:creationId xmlns:a16="http://schemas.microsoft.com/office/drawing/2014/main" id="{98566363-A86A-4240-AA7C-CA219ABCCBFF}"/>
            </a:ext>
          </a:extLst>
        </xdr:cNvPr>
        <xdr:cNvSpPr txBox="1"/>
      </xdr:nvSpPr>
      <xdr:spPr>
        <a:xfrm>
          <a:off x="2787650" y="2012950"/>
          <a:ext cx="1625600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68E0C2-E65D-4B9D-98A2-71367390CB02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$59,783</a:t>
          </a:fld>
          <a:endParaRPr lang="en-US" sz="3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555746</xdr:colOff>
      <xdr:row>1</xdr:row>
      <xdr:rowOff>0</xdr:rowOff>
    </xdr:from>
    <xdr:to>
      <xdr:col>6</xdr:col>
      <xdr:colOff>392542</xdr:colOff>
      <xdr:row>3</xdr:row>
      <xdr:rowOff>120650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C59179-6991-48E9-82F8-850A80D9ADC7}"/>
            </a:ext>
          </a:extLst>
        </xdr:cNvPr>
        <xdr:cNvSpPr txBox="1"/>
      </xdr:nvSpPr>
      <xdr:spPr>
        <a:xfrm>
          <a:off x="555746" y="181429"/>
          <a:ext cx="4158095" cy="48350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1</xdr:col>
      <xdr:colOff>476245</xdr:colOff>
      <xdr:row>7</xdr:row>
      <xdr:rowOff>163864</xdr:rowOff>
    </xdr:from>
    <xdr:to>
      <xdr:col>4</xdr:col>
      <xdr:colOff>442021</xdr:colOff>
      <xdr:row>10</xdr:row>
      <xdr:rowOff>138629</xdr:rowOff>
    </xdr:to>
    <xdr:sp macro="" textlink="'Data Prep'!$F$5">
      <xdr:nvSpPr>
        <xdr:cNvPr id="5" name="TextBox 4">
          <a:extLst>
            <a:ext uri="{FF2B5EF4-FFF2-40B4-BE49-F238E27FC236}">
              <a16:creationId xmlns:a16="http://schemas.microsoft.com/office/drawing/2014/main" id="{5E488B5E-D58B-40C0-9207-0C84C86D3767}"/>
            </a:ext>
          </a:extLst>
        </xdr:cNvPr>
        <xdr:cNvSpPr txBox="1"/>
      </xdr:nvSpPr>
      <xdr:spPr>
        <a:xfrm>
          <a:off x="1084031" y="1515507"/>
          <a:ext cx="2451347" cy="6006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982134-1ABB-4092-9F0E-5779E52D014F}" type="TxLink">
            <a:rPr lang="en-US" sz="36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pPr algn="ctr"/>
            <a:t>$59,783</a:t>
          </a:fld>
          <a:endParaRPr lang="en-US" sz="8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595904</xdr:colOff>
          <xdr:row>12</xdr:row>
          <xdr:rowOff>100778</xdr:rowOff>
        </xdr:from>
        <xdr:to>
          <xdr:col>4</xdr:col>
          <xdr:colOff>108024</xdr:colOff>
          <xdr:row>15</xdr:row>
          <xdr:rowOff>11302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256ED7FD-5B27-4C81-A726-4C36110DEA1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F$8" spid="_x0000_s51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03690" y="2477492"/>
              <a:ext cx="1997691" cy="50923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74713</xdr:colOff>
          <xdr:row>12</xdr:row>
          <xdr:rowOff>85597</xdr:rowOff>
        </xdr:from>
        <xdr:to>
          <xdr:col>6</xdr:col>
          <xdr:colOff>201219</xdr:colOff>
          <xdr:row>15</xdr:row>
          <xdr:rowOff>15667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8A250ACF-3178-47E8-B26C-9FA5C6AB8A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F$9" spid="_x0000_s517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560284" y="2462311"/>
              <a:ext cx="1949864" cy="5287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2</xdr:col>
      <xdr:colOff>122615</xdr:colOff>
      <xdr:row>5</xdr:row>
      <xdr:rowOff>167737</xdr:rowOff>
    </xdr:from>
    <xdr:to>
      <xdr:col>4</xdr:col>
      <xdr:colOff>236502</xdr:colOff>
      <xdr:row>7</xdr:row>
      <xdr:rowOff>194538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DE18CA7-C3D4-4F8C-B717-523F3AD4F361}"/>
            </a:ext>
          </a:extLst>
        </xdr:cNvPr>
        <xdr:cNvSpPr txBox="1"/>
      </xdr:nvSpPr>
      <xdr:spPr>
        <a:xfrm>
          <a:off x="1528686" y="1156523"/>
          <a:ext cx="1801173" cy="389658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Total Reveneu</a:t>
          </a:r>
        </a:p>
      </xdr:txBody>
    </xdr:sp>
    <xdr:clientData/>
  </xdr:twoCellAnchor>
  <xdr:twoCellAnchor editAs="absolute">
    <xdr:from>
      <xdr:col>1</xdr:col>
      <xdr:colOff>668731</xdr:colOff>
      <xdr:row>10</xdr:row>
      <xdr:rowOff>189431</xdr:rowOff>
    </xdr:from>
    <xdr:to>
      <xdr:col>2</xdr:col>
      <xdr:colOff>786412</xdr:colOff>
      <xdr:row>12</xdr:row>
      <xdr:rowOff>24744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C342DE-C47C-4D19-AC03-1F66BC2DF565}"/>
            </a:ext>
          </a:extLst>
        </xdr:cNvPr>
        <xdr:cNvSpPr txBox="1"/>
      </xdr:nvSpPr>
      <xdr:spPr>
        <a:xfrm>
          <a:off x="1276517" y="2167002"/>
          <a:ext cx="915966" cy="23445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YoY ∆%</a:t>
          </a:r>
        </a:p>
      </xdr:txBody>
    </xdr:sp>
    <xdr:clientData/>
  </xdr:twoCellAnchor>
  <xdr:twoCellAnchor editAs="absolute">
    <xdr:from>
      <xdr:col>2</xdr:col>
      <xdr:colOff>1067787</xdr:colOff>
      <xdr:row>10</xdr:row>
      <xdr:rowOff>189101</xdr:rowOff>
    </xdr:from>
    <xdr:to>
      <xdr:col>4</xdr:col>
      <xdr:colOff>389327</xdr:colOff>
      <xdr:row>12</xdr:row>
      <xdr:rowOff>136069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F26D9F-689A-4970-848A-D1B3C7EF9DB3}"/>
            </a:ext>
          </a:extLst>
        </xdr:cNvPr>
        <xdr:cNvSpPr txBox="1"/>
      </xdr:nvSpPr>
      <xdr:spPr>
        <a:xfrm>
          <a:off x="2473858" y="2166672"/>
          <a:ext cx="1008826" cy="34611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MoM ∆ %</a:t>
          </a:r>
        </a:p>
      </xdr:txBody>
    </xdr:sp>
    <xdr:clientData/>
  </xdr:twoCellAnchor>
  <xdr:twoCellAnchor editAs="absolute">
    <xdr:from>
      <xdr:col>9</xdr:col>
      <xdr:colOff>59955</xdr:colOff>
      <xdr:row>6</xdr:row>
      <xdr:rowOff>63263</xdr:rowOff>
    </xdr:from>
    <xdr:to>
      <xdr:col>12</xdr:col>
      <xdr:colOff>543215</xdr:colOff>
      <xdr:row>8</xdr:row>
      <xdr:rowOff>54428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67A6B31-4036-46F9-B8B2-B1DD9370A73A}"/>
            </a:ext>
          </a:extLst>
        </xdr:cNvPr>
        <xdr:cNvSpPr txBox="1"/>
      </xdr:nvSpPr>
      <xdr:spPr>
        <a:xfrm>
          <a:off x="6192241" y="1233477"/>
          <a:ext cx="2306617" cy="38123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Store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 Performance</a:t>
          </a:r>
          <a:endParaRPr lang="en-US" sz="1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19</xdr:col>
      <xdr:colOff>633351</xdr:colOff>
      <xdr:row>6</xdr:row>
      <xdr:rowOff>83954</xdr:rowOff>
    </xdr:from>
    <xdr:to>
      <xdr:col>21</xdr:col>
      <xdr:colOff>287483</xdr:colOff>
      <xdr:row>8</xdr:row>
      <xdr:rowOff>9072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A2700F9-87A5-440A-9765-3357C4977319}"/>
            </a:ext>
          </a:extLst>
        </xdr:cNvPr>
        <xdr:cNvSpPr txBox="1"/>
      </xdr:nvSpPr>
      <xdr:spPr>
        <a:xfrm>
          <a:off x="12843494" y="1254168"/>
          <a:ext cx="1867560" cy="31519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Top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 5 Products</a:t>
          </a:r>
          <a:endParaRPr lang="en-US" sz="1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19</xdr:col>
      <xdr:colOff>473857</xdr:colOff>
      <xdr:row>16</xdr:row>
      <xdr:rowOff>166998</xdr:rowOff>
    </xdr:from>
    <xdr:to>
      <xdr:col>21</xdr:col>
      <xdr:colOff>470889</xdr:colOff>
      <xdr:row>18</xdr:row>
      <xdr:rowOff>136074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978D65-EC0F-445F-9D7A-EFCB09A7B820}"/>
            </a:ext>
          </a:extLst>
        </xdr:cNvPr>
        <xdr:cNvSpPr txBox="1"/>
      </xdr:nvSpPr>
      <xdr:spPr>
        <a:xfrm>
          <a:off x="12684000" y="3378284"/>
          <a:ext cx="2210460" cy="33193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Bottom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 5 Products</a:t>
          </a:r>
          <a:endParaRPr lang="en-US" sz="1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667660</xdr:colOff>
      <xdr:row>15</xdr:row>
      <xdr:rowOff>189585</xdr:rowOff>
    </xdr:from>
    <xdr:to>
      <xdr:col>4</xdr:col>
      <xdr:colOff>153145</xdr:colOff>
      <xdr:row>17</xdr:row>
      <xdr:rowOff>145136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2279B4-C95C-4531-A957-B18549D63A8C}"/>
            </a:ext>
          </a:extLst>
        </xdr:cNvPr>
        <xdr:cNvSpPr txBox="1"/>
      </xdr:nvSpPr>
      <xdr:spPr>
        <a:xfrm>
          <a:off x="1275446" y="3165014"/>
          <a:ext cx="1971056" cy="37283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Revenue Trend</a:t>
          </a:r>
        </a:p>
        <a:p>
          <a:endParaRPr lang="en-US" sz="2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216174</xdr:colOff>
      <xdr:row>18</xdr:row>
      <xdr:rowOff>41643</xdr:rowOff>
    </xdr:from>
    <xdr:to>
      <xdr:col>6</xdr:col>
      <xdr:colOff>99788</xdr:colOff>
      <xdr:row>27</xdr:row>
      <xdr:rowOff>181425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E5475-00BA-4797-BA19-EBA2D543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6</xdr:col>
      <xdr:colOff>606766</xdr:colOff>
      <xdr:row>7</xdr:row>
      <xdr:rowOff>164111</xdr:rowOff>
    </xdr:from>
    <xdr:to>
      <xdr:col>14</xdr:col>
      <xdr:colOff>246578</xdr:colOff>
      <xdr:row>31</xdr:row>
      <xdr:rowOff>48607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A28561-DA14-4D6B-AE3E-A4DCE636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227762</xdr:colOff>
      <xdr:row>8</xdr:row>
      <xdr:rowOff>14016</xdr:rowOff>
    </xdr:from>
    <xdr:to>
      <xdr:col>16</xdr:col>
      <xdr:colOff>588816</xdr:colOff>
      <xdr:row>31</xdr:row>
      <xdr:rowOff>71693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7B81D8-15D3-4C58-9D49-73DC41E3C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580571</xdr:colOff>
      <xdr:row>10</xdr:row>
      <xdr:rowOff>136068</xdr:rowOff>
    </xdr:from>
    <xdr:to>
      <xdr:col>5</xdr:col>
      <xdr:colOff>145143</xdr:colOff>
      <xdr:row>10</xdr:row>
      <xdr:rowOff>136068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768FFB8-8CAB-438E-A95F-22F5D6840EAC}"/>
            </a:ext>
          </a:extLst>
        </xdr:cNvPr>
        <xdr:cNvCxnSpPr/>
      </xdr:nvCxnSpPr>
      <xdr:spPr>
        <a:xfrm>
          <a:off x="580571" y="2059211"/>
          <a:ext cx="32657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852710</xdr:colOff>
      <xdr:row>10</xdr:row>
      <xdr:rowOff>165841</xdr:rowOff>
    </xdr:from>
    <xdr:to>
      <xdr:col>2</xdr:col>
      <xdr:colOff>858275</xdr:colOff>
      <xdr:row>15</xdr:row>
      <xdr:rowOff>54426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2AB0A533-EB04-482E-A075-441A4C2CE99D}"/>
            </a:ext>
          </a:extLst>
        </xdr:cNvPr>
        <xdr:cNvCxnSpPr/>
      </xdr:nvCxnSpPr>
      <xdr:spPr>
        <a:xfrm flipH="1">
          <a:off x="2258781" y="2088984"/>
          <a:ext cx="5565" cy="9227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45357</xdr:colOff>
      <xdr:row>5</xdr:row>
      <xdr:rowOff>172357</xdr:rowOff>
    </xdr:from>
    <xdr:to>
      <xdr:col>22</xdr:col>
      <xdr:colOff>254000</xdr:colOff>
      <xdr:row>6</xdr:row>
      <xdr:rowOff>3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AA98BB8-AFEC-41B3-8570-778DEFA03762}"/>
            </a:ext>
          </a:extLst>
        </xdr:cNvPr>
        <xdr:cNvCxnSpPr/>
      </xdr:nvCxnSpPr>
      <xdr:spPr>
        <a:xfrm flipV="1">
          <a:off x="45357" y="1161143"/>
          <a:ext cx="15394214" cy="9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29EF8-B280-480C-B216-96E914672492}" name="Data" displayName="Data" ref="A1:J4266" headerRowDxfId="5">
  <autoFilter ref="A1:J4266" xr:uid="{17A29EF8-B280-480C-B216-96E914672492}"/>
  <tableColumns count="10">
    <tableColumn id="1" xr3:uid="{5858B5BC-9766-4AE3-8274-0F645A93DC6F}" name="Year" totalsRowLabel="Total"/>
    <tableColumn id="2" xr3:uid="{D2CA55CF-DCC6-4885-BDF3-905443F165A9}" name="Month"/>
    <tableColumn id="3" xr3:uid="{CD4A8FD9-C486-4B76-AF31-1EF5D552388B}" name="Store Name"/>
    <tableColumn id="4" xr3:uid="{8FFCACAA-17D3-48FA-8C85-12A8D4C57232}" name="Region"/>
    <tableColumn id="5" xr3:uid="{DC6C8078-F861-4720-ACAB-3C12BDD059E7}" name="Store Type"/>
    <tableColumn id="6" xr3:uid="{0BA0C45D-F3D1-48AA-8B72-E6479C5D751F}" name="Product Name"/>
    <tableColumn id="7" xr3:uid="{1409E974-E67C-4E3E-A20A-4203CB9B83D9}" name="Product Category"/>
    <tableColumn id="8" xr3:uid="{3EAD6891-DD47-441A-8395-48E805A7625F}" name="Units Sold"/>
    <tableColumn id="9" xr3:uid="{CEC25243-BC82-40DA-9FA9-57778CC36FDA}" name="Revenue" dataDxfId="4"/>
    <tableColumn id="10" xr3:uid="{0BA8BB10-9701-46DB-8562-86A6E81576E4}" name="Profit" totalsRowFunction="sum" dataDxfId="3" totalsRow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M4258" sqref="M4258"/>
    </sheetView>
  </sheetViews>
  <sheetFormatPr defaultRowHeight="14.5" x14ac:dyDescent="0.35"/>
  <cols>
    <col min="1" max="1" width="7.08984375" customWidth="1"/>
    <col min="2" max="2" width="9.08984375" customWidth="1"/>
    <col min="3" max="3" width="14.36328125" customWidth="1"/>
    <col min="4" max="4" width="15" customWidth="1"/>
    <col min="5" max="5" width="16.36328125" customWidth="1"/>
    <col min="6" max="6" width="20.453125" bestFit="1" customWidth="1"/>
    <col min="7" max="7" width="18.90625" customWidth="1"/>
    <col min="8" max="8" width="12.08984375" customWidth="1"/>
    <col min="9" max="9" width="11" customWidth="1"/>
    <col min="12" max="13" width="11.453125" bestFit="1" customWidth="1"/>
    <col min="16" max="16" width="15.453125" bestFit="1" customWidth="1"/>
    <col min="18" max="18" width="18.36328125" bestFit="1" customWidth="1"/>
    <col min="27" max="27" width="14.36328125" customWidth="1"/>
    <col min="28" max="28" width="11.453125" customWidth="1"/>
    <col min="32" max="33" width="14.36328125" customWidth="1"/>
    <col min="34" max="34" width="11.453125" customWidth="1"/>
    <col min="37" max="37" width="12.36328125" bestFit="1" customWidth="1"/>
    <col min="38" max="38" width="17.6328125" bestFit="1" customWidth="1"/>
    <col min="48" max="49" width="14.36328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4054.4700000000003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1991.3899999999999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2558.38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1777.49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4454.5899999999992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3190.53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2685.67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2337.73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1368.05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3312.5699999999997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15007.820000000002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3027.2099999999996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2835.35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4043.84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7137.8899999999994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21BA-8422-4CE8-8A98-1FC3CA31ACF8}">
  <dimension ref="B2:AE44"/>
  <sheetViews>
    <sheetView zoomScale="70" zoomScaleNormal="70" workbookViewId="0">
      <selection activeCell="O4" sqref="O4"/>
    </sheetView>
  </sheetViews>
  <sheetFormatPr defaultRowHeight="14.5" x14ac:dyDescent="0.35"/>
  <cols>
    <col min="2" max="2" width="15" customWidth="1"/>
    <col min="3" max="3" width="10.453125" bestFit="1" customWidth="1"/>
    <col min="5" max="5" width="13.1796875" bestFit="1" customWidth="1"/>
    <col min="6" max="6" width="11.08984375" bestFit="1" customWidth="1"/>
    <col min="10" max="10" width="12.1796875" bestFit="1" customWidth="1"/>
    <col min="14" max="15" width="16.54296875" customWidth="1"/>
    <col min="17" max="17" width="11.7265625" bestFit="1" customWidth="1"/>
    <col min="21" max="21" width="20.90625" bestFit="1" customWidth="1"/>
    <col min="23" max="23" width="11.26953125" bestFit="1" customWidth="1"/>
    <col min="24" max="24" width="7.453125" bestFit="1" customWidth="1"/>
    <col min="29" max="29" width="13" bestFit="1" customWidth="1"/>
  </cols>
  <sheetData>
    <row r="2" spans="2:31" x14ac:dyDescent="0.35">
      <c r="I2" s="15" t="s">
        <v>88</v>
      </c>
      <c r="J2" s="15"/>
      <c r="K2" s="15"/>
      <c r="L2" s="15"/>
      <c r="N2" s="15" t="s">
        <v>103</v>
      </c>
      <c r="O2" s="15"/>
      <c r="P2" s="15"/>
      <c r="Q2" s="15"/>
      <c r="R2" s="15"/>
      <c r="S2" s="13"/>
      <c r="U2" s="15" t="s">
        <v>105</v>
      </c>
      <c r="V2" s="15"/>
      <c r="W2" s="15"/>
      <c r="X2" s="15"/>
      <c r="AB2" s="15" t="s">
        <v>109</v>
      </c>
      <c r="AC2" s="15"/>
      <c r="AD2" s="15"/>
      <c r="AE2" s="15"/>
    </row>
    <row r="3" spans="2:31" x14ac:dyDescent="0.35">
      <c r="I3" s="9" t="s">
        <v>89</v>
      </c>
      <c r="J3" s="9" t="s">
        <v>90</v>
      </c>
      <c r="K3" s="9">
        <v>2020</v>
      </c>
      <c r="L3" s="9">
        <v>2021</v>
      </c>
      <c r="N3" s="9" t="s">
        <v>72</v>
      </c>
      <c r="O3" s="9" t="s">
        <v>52</v>
      </c>
      <c r="P3" s="9" t="s">
        <v>46</v>
      </c>
      <c r="Q3" s="9" t="s">
        <v>85</v>
      </c>
      <c r="R3" s="9" t="s">
        <v>87</v>
      </c>
      <c r="S3" s="9" t="s">
        <v>76</v>
      </c>
      <c r="U3" s="9" t="s">
        <v>74</v>
      </c>
      <c r="V3" s="9" t="s">
        <v>46</v>
      </c>
      <c r="W3" s="9" t="s">
        <v>85</v>
      </c>
      <c r="X3" s="9" t="s">
        <v>108</v>
      </c>
      <c r="Y3" s="9" t="s">
        <v>106</v>
      </c>
      <c r="Z3" s="9" t="s">
        <v>107</v>
      </c>
      <c r="AB3" s="9" t="s">
        <v>110</v>
      </c>
      <c r="AC3" s="9" t="s">
        <v>74</v>
      </c>
      <c r="AD3" s="9" t="s">
        <v>46</v>
      </c>
      <c r="AE3" s="9" t="s">
        <v>108</v>
      </c>
    </row>
    <row r="4" spans="2:31" x14ac:dyDescent="0.35">
      <c r="B4" s="15" t="s">
        <v>75</v>
      </c>
      <c r="C4" s="15"/>
      <c r="E4" s="15" t="s">
        <v>82</v>
      </c>
      <c r="F4" s="15"/>
      <c r="I4">
        <v>1</v>
      </c>
      <c r="J4" t="s">
        <v>91</v>
      </c>
      <c r="K4" s="11">
        <f>SUMIFS(Data[[Revenue]:[Revenue]],Data[[Region]:[Region]],Region,Data[[Month]:[Month]],'Data Prep'!$I4,Data[[Year]:[Year]],'Data Prep'!K$3)</f>
        <v>37135.47</v>
      </c>
      <c r="L4" s="11">
        <f>IF(I4&gt;$C$12,NA(),SUMIFS(Data[[Revenue]:[Revenue]],Data[[Region]:[Region]],Region,Data[[Month]:[Month]],'Data Prep'!$I4,Data[[Year]:[Year]],'Data Prep'!L$3))</f>
        <v>51959.660000000011</v>
      </c>
      <c r="N4" s="7" t="s">
        <v>56</v>
      </c>
      <c r="O4" s="27" t="e" vm="1">
        <f>VLOOKUP(N$4,Data[Store Name],)</f>
        <v>#VALUE!</v>
      </c>
      <c r="P4" s="12">
        <f>SUMIFS(Data[Revenue],Data[Store Name],'Data Prep'!N4,Data[Year],CurYear,Data[Month],CurMonth)</f>
        <v>14836.320000000002</v>
      </c>
      <c r="Q4" s="12">
        <f>SUMIFS(Data[Revenue],Data[Store Name],'Data Prep'!N4,Data[Month],PMonth,Data[Year],PMYEAR)</f>
        <v>11676.369999999999</v>
      </c>
      <c r="R4" s="10">
        <f>P4/Q4-1</f>
        <v>0.27062777215864209</v>
      </c>
      <c r="S4" s="10"/>
      <c r="U4" s="7" t="s">
        <v>13</v>
      </c>
      <c r="V4" s="12">
        <f>SUMIFS(Data[Revenue],Data[Region],Region,Data[Year],CurYear,Data[Month],CurMonth,Data[Product Name],'Data Prep'!U4)</f>
        <v>1630.98</v>
      </c>
      <c r="W4" s="12">
        <f>SUMIFS(Data[Revenue],Data[Region],Region,Data[Year],PMYEAR,Data[Month],PMonth,Data[Product Name],'Data Prep'!U4)</f>
        <v>3517.8</v>
      </c>
      <c r="X4" s="2">
        <f>V4-W4</f>
        <v>-1886.8200000000002</v>
      </c>
      <c r="Y4">
        <f>_xlfn.RANK.AVG(X4,$X$4:$X$44,0)</f>
        <v>41</v>
      </c>
      <c r="Z4">
        <f>_xlfn.RANK.AVG(X4,$X$4:$X$44,1)</f>
        <v>1</v>
      </c>
      <c r="AB4">
        <v>1</v>
      </c>
      <c r="AC4" t="str">
        <f>INDEX($U$4:$X$44,MATCH($AB4,$Y$4:$Y$44,0),MATCH(AC$3,$U$3:$X$3,0))</f>
        <v>Etch A Sketch</v>
      </c>
      <c r="AD4" s="12">
        <f t="shared" ref="AD4:AE8" si="0">INDEX($U$4:$X$44,MATCH($AB4,$Y$4:$Y$44,0),MATCH(AD$3,$U$3:$X$3,0))</f>
        <v>3442.3599999999997</v>
      </c>
      <c r="AE4" s="2">
        <f t="shared" si="0"/>
        <v>2938.6</v>
      </c>
    </row>
    <row r="5" spans="2:31" x14ac:dyDescent="0.35">
      <c r="B5" s="6" t="s">
        <v>52</v>
      </c>
      <c r="C5" s="6" t="s">
        <v>76</v>
      </c>
      <c r="E5" s="9" t="s">
        <v>83</v>
      </c>
      <c r="F5" s="11">
        <f>SUMIFS(Data[Revenue],Data[Region],'Data Prep'!C6,Data[Year],'Data Prep'!C11,Data[Month],'Data Prep'!C12)</f>
        <v>59782.98000000001</v>
      </c>
      <c r="I5">
        <v>2</v>
      </c>
      <c r="J5" t="s">
        <v>92</v>
      </c>
      <c r="K5" s="11">
        <f>SUMIFS(Data[[Revenue]:[Revenue]],Data[[Region]:[Region]],Region,Data[[Month]:[Month]],'Data Prep'!$I5,Data[[Year]:[Year]],'Data Prep'!K$3)</f>
        <v>31324.390000000007</v>
      </c>
      <c r="L5" s="11">
        <f>IF(I5&gt;$C$12,NA(),SUMIFS(Data[[Revenue]:[Revenue]],Data[[Region]:[Region]],Region,Data[[Month]:[Month]],'Data Prep'!$I5,Data[[Year]:[Year]],'Data Prep'!L$3))</f>
        <v>53726.850000000006</v>
      </c>
      <c r="N5" s="7" t="s">
        <v>59</v>
      </c>
      <c r="O5" s="27"/>
      <c r="P5" s="12">
        <f>SUMIFS(Data[Revenue],Data[Store Name],'Data Prep'!N5,Data[Year],CurYear,Data[Month],CurMonth)</f>
        <v>12894.550000000001</v>
      </c>
      <c r="Q5" s="12">
        <f>SUMIFS(Data[Revenue],Data[Store Name],'Data Prep'!N5,Data[Month],PMonth,Data[Year],PMYEAR)</f>
        <v>9291.49</v>
      </c>
      <c r="R5" s="10">
        <f t="shared" ref="R5:R13" si="1">P5/Q5-1</f>
        <v>0.38778064659166622</v>
      </c>
      <c r="S5" s="10"/>
      <c r="U5" s="8" t="s">
        <v>24</v>
      </c>
      <c r="V5" s="12">
        <f>SUMIFS(Data[Revenue],Data[Region],Region,Data[Year],CurYear,Data[Month],CurMonth,Data[Product Name],'Data Prep'!U5)</f>
        <v>2403.1499999999996</v>
      </c>
      <c r="W5" s="12">
        <f>SUMIFS(Data[Revenue],Data[Region],Region,Data[Year],PMYEAR,Data[Month],PMonth,Data[Product Name],'Data Prep'!U5)</f>
        <v>1337.97</v>
      </c>
      <c r="X5" s="2">
        <f t="shared" ref="X5:X44" si="2">V5-W5</f>
        <v>1065.1799999999996</v>
      </c>
      <c r="Y5">
        <f t="shared" ref="Y5:Y44" si="3">_xlfn.RANK.AVG(X5,$X$4:$X$44)</f>
        <v>9</v>
      </c>
      <c r="Z5">
        <f t="shared" ref="Z5:Z44" si="4">_xlfn.RANK.AVG(X5,$X$4:$X$44,1)</f>
        <v>33</v>
      </c>
      <c r="AB5">
        <v>2</v>
      </c>
      <c r="AC5" t="str">
        <f t="shared" ref="AC5:AC8" si="5">INDEX($U$4:$X$44,MATCH($AB5,$Y$4:$Y$44,0),MATCH(AC$3,$U$3:$X$3,0))</f>
        <v>Rubik's Cube</v>
      </c>
      <c r="AD5" s="12">
        <f t="shared" si="0"/>
        <v>5037.4799999999996</v>
      </c>
      <c r="AE5" s="2">
        <f t="shared" si="0"/>
        <v>2798.5999999999995</v>
      </c>
    </row>
    <row r="6" spans="2:31" x14ac:dyDescent="0.35">
      <c r="B6" t="s">
        <v>4</v>
      </c>
      <c r="C6" t="str">
        <f>Dashboard!C5</f>
        <v>Los Angeles</v>
      </c>
      <c r="E6" s="9" t="s">
        <v>84</v>
      </c>
      <c r="F6" s="11">
        <f>SUMIFS(Data[Revenue],Data[Region],'Data Prep'!C6,Data[Year],'Data Prep'!C13,Data[Month],'Data Prep'!C12)</f>
        <v>44643.76</v>
      </c>
      <c r="I6">
        <v>3</v>
      </c>
      <c r="J6" t="s">
        <v>93</v>
      </c>
      <c r="K6" s="11">
        <f>SUMIFS(Data[[Revenue]:[Revenue]],Data[[Region]:[Region]],Region,Data[[Month]:[Month]],'Data Prep'!$I6,Data[[Year]:[Year]],'Data Prep'!K$3)</f>
        <v>38310.149999999987</v>
      </c>
      <c r="L6" s="11">
        <f>IF(I6&gt;$C$12,NA(),SUMIFS(Data[[Revenue]:[Revenue]],Data[[Region]:[Region]],Region,Data[[Month]:[Month]],'Data Prep'!$I6,Data[[Year]:[Year]],'Data Prep'!L$3))</f>
        <v>53604.229999999989</v>
      </c>
      <c r="N6" s="7" t="s">
        <v>62</v>
      </c>
      <c r="O6" s="27"/>
      <c r="P6" s="12">
        <f>SUMIFS(Data[Revenue],Data[Store Name],'Data Prep'!N6,Data[Year],CurYear,Data[Month],CurMonth)</f>
        <v>22817.06</v>
      </c>
      <c r="Q6" s="12">
        <f>SUMIFS(Data[Revenue],Data[Store Name],'Data Prep'!N6,Data[Month],PMonth,Data[Year],PMYEAR)</f>
        <v>20167.499999999996</v>
      </c>
      <c r="R6" s="10">
        <f t="shared" si="1"/>
        <v>0.13137771166480761</v>
      </c>
      <c r="S6" s="10"/>
      <c r="U6" s="7" t="s">
        <v>18</v>
      </c>
      <c r="V6" s="12">
        <f>SUMIFS(Data[Revenue],Data[Region],Region,Data[Year],CurYear,Data[Month],CurMonth,Data[Product Name],'Data Prep'!U6)</f>
        <v>116.91</v>
      </c>
      <c r="W6" s="12">
        <f>SUMIFS(Data[Revenue],Data[Region],Region,Data[Year],PMYEAR,Data[Month],PMonth,Data[Product Name],'Data Prep'!U6)</f>
        <v>0</v>
      </c>
      <c r="X6" s="2">
        <f t="shared" si="2"/>
        <v>116.91</v>
      </c>
      <c r="Y6">
        <f t="shared" si="3"/>
        <v>19</v>
      </c>
      <c r="Z6">
        <f t="shared" si="4"/>
        <v>23</v>
      </c>
      <c r="AB6">
        <v>3</v>
      </c>
      <c r="AC6" t="str">
        <f t="shared" si="5"/>
        <v>Colorbuds</v>
      </c>
      <c r="AD6" s="12">
        <f t="shared" si="0"/>
        <v>5291.47</v>
      </c>
      <c r="AE6" s="2">
        <f t="shared" si="0"/>
        <v>2248.5000000000005</v>
      </c>
    </row>
    <row r="7" spans="2:31" x14ac:dyDescent="0.35">
      <c r="B7" t="s">
        <v>5</v>
      </c>
      <c r="E7" s="9" t="s">
        <v>85</v>
      </c>
      <c r="F7" s="11">
        <f>SUMIFS(Data[Revenue],Data[Region],'Data Prep'!C6,Data[Year],IF(CurMonth=1,C13,C11),Data[Month],C14)</f>
        <v>46196.220000000008</v>
      </c>
      <c r="I7">
        <v>4</v>
      </c>
      <c r="J7" t="s">
        <v>94</v>
      </c>
      <c r="K7" s="11">
        <f>SUMIFS(Data[[Revenue]:[Revenue]],Data[[Region]:[Region]],Region,Data[[Month]:[Month]],'Data Prep'!$I7,Data[[Year]:[Year]],'Data Prep'!K$3)</f>
        <v>43124.819999999992</v>
      </c>
      <c r="L7" s="11">
        <f>IF(I7&gt;$C$12,NA(),SUMIFS(Data[[Revenue]:[Revenue]],Data[[Region]:[Region]],Region,Data[[Month]:[Month]],'Data Prep'!$I7,Data[[Year]:[Year]],'Data Prep'!L$3))</f>
        <v>50597.080000000009</v>
      </c>
      <c r="N7" s="7" t="s">
        <v>55</v>
      </c>
      <c r="O7" s="27"/>
      <c r="P7" s="12">
        <f>SUMIFS(Data[Revenue],Data[Store Name],'Data Prep'!N7,Data[Year],CurYear,Data[Month],CurMonth)</f>
        <v>20890.14</v>
      </c>
      <c r="Q7" s="12">
        <f>SUMIFS(Data[Revenue],Data[Store Name],'Data Prep'!N7,Data[Month],PMonth,Data[Year],PMYEAR)</f>
        <v>24100.490000000009</v>
      </c>
      <c r="R7" s="10">
        <f t="shared" si="1"/>
        <v>-0.13320683521372423</v>
      </c>
      <c r="S7" s="10"/>
      <c r="U7" s="8" t="s">
        <v>30</v>
      </c>
      <c r="V7" s="12">
        <f>SUMIFS(Data[Revenue],Data[Region],Region,Data[Year],CurYear,Data[Month],CurMonth,Data[Product Name],'Data Prep'!U7)</f>
        <v>0</v>
      </c>
      <c r="W7" s="12">
        <f>SUMIFS(Data[Revenue],Data[Region],Region,Data[Year],PMYEAR,Data[Month],PMonth,Data[Product Name],'Data Prep'!U7)</f>
        <v>229.77</v>
      </c>
      <c r="X7" s="2">
        <f t="shared" si="2"/>
        <v>-229.77</v>
      </c>
      <c r="Y7">
        <f t="shared" si="3"/>
        <v>35</v>
      </c>
      <c r="Z7">
        <f t="shared" si="4"/>
        <v>7</v>
      </c>
      <c r="AB7">
        <v>4</v>
      </c>
      <c r="AC7" t="str">
        <f t="shared" si="5"/>
        <v>Kids Makeup Kit</v>
      </c>
      <c r="AD7" s="12">
        <f t="shared" si="0"/>
        <v>2878.5599999999995</v>
      </c>
      <c r="AE7" s="2">
        <f t="shared" si="0"/>
        <v>1579.2099999999996</v>
      </c>
    </row>
    <row r="8" spans="2:31" x14ac:dyDescent="0.35">
      <c r="B8" t="s">
        <v>48</v>
      </c>
      <c r="E8" s="9" t="s">
        <v>86</v>
      </c>
      <c r="F8" s="14">
        <f>F5/F6-1</f>
        <v>0.33911166980559004</v>
      </c>
      <c r="I8">
        <v>5</v>
      </c>
      <c r="J8" t="s">
        <v>95</v>
      </c>
      <c r="K8" s="11">
        <f>SUMIFS(Data[[Revenue]:[Revenue]],Data[[Region]:[Region]],Region,Data[[Month]:[Month]],'Data Prep'!$I8,Data[[Year]:[Year]],'Data Prep'!K$3)</f>
        <v>48602.219999999994</v>
      </c>
      <c r="L8" s="11">
        <f>IF(I8&gt;$C$12,NA(),SUMIFS(Data[[Revenue]:[Revenue]],Data[[Region]:[Region]],Region,Data[[Month]:[Month]],'Data Prep'!$I8,Data[[Year]:[Year]],'Data Prep'!L$3))</f>
        <v>66944.169999999984</v>
      </c>
      <c r="N8" s="7" t="s">
        <v>61</v>
      </c>
      <c r="O8" s="27"/>
      <c r="P8" s="12">
        <f>SUMIFS(Data[Revenue],Data[Store Name],'Data Prep'!N8,Data[Year],CurYear,Data[Month],CurMonth)</f>
        <v>32052.109999999993</v>
      </c>
      <c r="Q8" s="12">
        <f>SUMIFS(Data[Revenue],Data[Store Name],'Data Prep'!N8,Data[Month],PMonth,Data[Year],PMYEAR)</f>
        <v>25228.359999999997</v>
      </c>
      <c r="R8" s="10">
        <f t="shared" si="1"/>
        <v>0.27047933357538878</v>
      </c>
      <c r="S8" s="10"/>
      <c r="U8" s="7" t="s">
        <v>20</v>
      </c>
      <c r="V8" s="12">
        <f>SUMIFS(Data[Revenue],Data[Region],Region,Data[Year],CurYear,Data[Month],CurMonth,Data[Product Name],'Data Prep'!U8)</f>
        <v>5291.47</v>
      </c>
      <c r="W8" s="12">
        <f>SUMIFS(Data[Revenue],Data[Region],Region,Data[Year],PMYEAR,Data[Month],PMonth,Data[Product Name],'Data Prep'!U8)</f>
        <v>3042.97</v>
      </c>
      <c r="X8" s="2">
        <f t="shared" si="2"/>
        <v>2248.5000000000005</v>
      </c>
      <c r="Y8">
        <f t="shared" si="3"/>
        <v>3</v>
      </c>
      <c r="Z8">
        <f t="shared" si="4"/>
        <v>39</v>
      </c>
      <c r="AB8">
        <v>5</v>
      </c>
      <c r="AC8" t="str">
        <f t="shared" si="5"/>
        <v>Nerf Gun</v>
      </c>
      <c r="AD8" s="12">
        <f t="shared" si="0"/>
        <v>2338.83</v>
      </c>
      <c r="AE8" s="2">
        <f t="shared" si="0"/>
        <v>1339.33</v>
      </c>
    </row>
    <row r="9" spans="2:31" x14ac:dyDescent="0.35">
      <c r="E9" s="9" t="s">
        <v>87</v>
      </c>
      <c r="F9" s="14">
        <f>F5/F7-1</f>
        <v>0.29410977781298997</v>
      </c>
      <c r="I9">
        <v>6</v>
      </c>
      <c r="J9" t="s">
        <v>96</v>
      </c>
      <c r="K9" s="11">
        <f>SUMIFS(Data[[Revenue]:[Revenue]],Data[[Region]:[Region]],Region,Data[[Month]:[Month]],'Data Prep'!$I9,Data[[Year]:[Year]],'Data Prep'!K$3)</f>
        <v>42487.139999999992</v>
      </c>
      <c r="L9" s="11">
        <f>IF(I9&gt;$C$12,NA(),SUMIFS(Data[[Revenue]:[Revenue]],Data[[Region]:[Region]],Region,Data[[Month]:[Month]],'Data Prep'!$I9,Data[[Year]:[Year]],'Data Prep'!L$3))</f>
        <v>46196.220000000008</v>
      </c>
      <c r="N9" s="8" t="s">
        <v>57</v>
      </c>
      <c r="O9" s="28"/>
      <c r="P9" s="12">
        <f>SUMIFS(Data[Revenue],Data[Store Name],'Data Prep'!N9,Data[Year],CurYear,Data[Month],CurMonth)</f>
        <v>36101.759999999995</v>
      </c>
      <c r="Q9" s="12">
        <f>SUMIFS(Data[Revenue],Data[Store Name],'Data Prep'!N9,Data[Month],PMonth,Data[Year],PMYEAR)</f>
        <v>30245.009999999995</v>
      </c>
      <c r="R9" s="10">
        <f t="shared" si="1"/>
        <v>0.19364351342585118</v>
      </c>
      <c r="S9" s="10"/>
      <c r="U9" s="8" t="s">
        <v>25</v>
      </c>
      <c r="V9" s="12">
        <f>SUMIFS(Data[Revenue],Data[Region],Region,Data[Year],CurYear,Data[Month],CurMonth,Data[Product Name],'Data Prep'!U9)</f>
        <v>1295.19</v>
      </c>
      <c r="W9" s="12">
        <f>SUMIFS(Data[Revenue],Data[Region],Region,Data[Year],PMYEAR,Data[Month],PMonth,Data[Product Name],'Data Prep'!U9)</f>
        <v>655.58999999999992</v>
      </c>
      <c r="X9" s="2">
        <f t="shared" si="2"/>
        <v>639.60000000000014</v>
      </c>
      <c r="Y9">
        <f t="shared" si="3"/>
        <v>12</v>
      </c>
      <c r="Z9">
        <f t="shared" si="4"/>
        <v>30</v>
      </c>
    </row>
    <row r="10" spans="2:31" x14ac:dyDescent="0.35">
      <c r="B10" s="15" t="s">
        <v>77</v>
      </c>
      <c r="C10" s="15"/>
      <c r="I10">
        <v>7</v>
      </c>
      <c r="J10" t="s">
        <v>97</v>
      </c>
      <c r="K10" s="11">
        <f>SUMIFS(Data[[Revenue]:[Revenue]],Data[[Region]:[Region]],Region,Data[[Month]:[Month]],'Data Prep'!$I10,Data[[Year]:[Year]],'Data Prep'!K$3)</f>
        <v>44643.76</v>
      </c>
      <c r="L10" s="11">
        <f>IF(I10&gt;$C$12,NA(),SUMIFS(Data[[Revenue]:[Revenue]],Data[[Region]:[Region]],Region,Data[[Month]:[Month]],'Data Prep'!$I10,Data[[Year]:[Year]],'Data Prep'!L$3))</f>
        <v>59782.98000000001</v>
      </c>
      <c r="N10" s="8" t="s">
        <v>60</v>
      </c>
      <c r="O10" s="28"/>
      <c r="P10" s="12">
        <f>SUMIFS(Data[Revenue],Data[Store Name],'Data Prep'!N10,Data[Year],CurYear,Data[Month],CurMonth)</f>
        <v>24068.03</v>
      </c>
      <c r="Q10" s="12">
        <f>SUMIFS(Data[Revenue],Data[Store Name],'Data Prep'!N10,Data[Month],PMonth,Data[Year],PMYEAR)</f>
        <v>22176.43</v>
      </c>
      <c r="R10" s="10">
        <f t="shared" si="1"/>
        <v>8.5297768847375277E-2</v>
      </c>
      <c r="S10" s="10"/>
      <c r="U10" s="7" t="s">
        <v>8</v>
      </c>
      <c r="V10" s="12">
        <f>SUMIFS(Data[Revenue],Data[Region],Region,Data[Year],CurYear,Data[Month],CurMonth,Data[Product Name],'Data Prep'!U10)</f>
        <v>1502.85</v>
      </c>
      <c r="W10" s="12">
        <f>SUMIFS(Data[Revenue],Data[Region],Region,Data[Year],PMYEAR,Data[Month],PMonth,Data[Product Name],'Data Prep'!U10)</f>
        <v>1209.27</v>
      </c>
      <c r="X10" s="2">
        <f t="shared" si="2"/>
        <v>293.57999999999993</v>
      </c>
      <c r="Y10">
        <f t="shared" si="3"/>
        <v>17</v>
      </c>
      <c r="Z10">
        <f t="shared" si="4"/>
        <v>25</v>
      </c>
    </row>
    <row r="11" spans="2:31" x14ac:dyDescent="0.35">
      <c r="B11" s="9" t="s">
        <v>78</v>
      </c>
      <c r="C11">
        <f>MAX(Data[Year])</f>
        <v>2021</v>
      </c>
      <c r="I11">
        <v>8</v>
      </c>
      <c r="J11" t="s">
        <v>98</v>
      </c>
      <c r="K11" s="11">
        <f>SUMIFS(Data[[Revenue]:[Revenue]],Data[[Region]:[Region]],Region,Data[[Month]:[Month]],'Data Prep'!$I11,Data[[Year]:[Year]],'Data Prep'!K$3)</f>
        <v>36202.770000000004</v>
      </c>
      <c r="L11" s="11" t="e">
        <f>IF(I11&gt;$C$12,NA(),SUMIFS(Data[[Revenue]:[Revenue]],Data[[Region]:[Region]],Region,Data[[Month]:[Month]],'Data Prep'!$I11,Data[[Year]:[Year]],'Data Prep'!L$3))</f>
        <v>#N/A</v>
      </c>
      <c r="N11" s="7" t="s">
        <v>53</v>
      </c>
      <c r="O11" s="27"/>
      <c r="P11" s="12">
        <f>SUMIFS(Data[Revenue],Data[Store Name],'Data Prep'!N11,Data[Year],CurYear,Data[Month],CurMonth)</f>
        <v>21829.790000000008</v>
      </c>
      <c r="Q11" s="12">
        <f>SUMIFS(Data[Revenue],Data[Store Name],'Data Prep'!N11,Data[Month],PMonth,Data[Year],PMYEAR)</f>
        <v>17645.59</v>
      </c>
      <c r="R11" s="10">
        <f t="shared" si="1"/>
        <v>0.23712440332117013</v>
      </c>
      <c r="S11" s="10"/>
      <c r="U11" s="8" t="s">
        <v>17</v>
      </c>
      <c r="V11" s="12">
        <f>SUMIFS(Data[Revenue],Data[Region],Region,Data[Year],CurYear,Data[Month],CurMonth,Data[Product Name],'Data Prep'!U11)</f>
        <v>3868.48</v>
      </c>
      <c r="W11" s="12">
        <f>SUMIFS(Data[Revenue],Data[Region],Region,Data[Year],PMYEAR,Data[Month],PMonth,Data[Product Name],'Data Prep'!U11)</f>
        <v>2758.4900000000002</v>
      </c>
      <c r="X11" s="2">
        <f t="shared" si="2"/>
        <v>1109.9899999999998</v>
      </c>
      <c r="Y11">
        <f t="shared" si="3"/>
        <v>8</v>
      </c>
      <c r="Z11">
        <f t="shared" si="4"/>
        <v>34</v>
      </c>
      <c r="AB11" s="15" t="s">
        <v>111</v>
      </c>
      <c r="AC11" s="15"/>
      <c r="AD11" s="15"/>
      <c r="AE11" s="15"/>
    </row>
    <row r="12" spans="2:31" x14ac:dyDescent="0.35">
      <c r="B12" s="9" t="s">
        <v>79</v>
      </c>
      <c r="C12">
        <f>_xlfn.MAXIFS(Data[Month],Data[Year],'Data Prep'!C11)</f>
        <v>7</v>
      </c>
      <c r="I12">
        <v>9</v>
      </c>
      <c r="J12" t="s">
        <v>99</v>
      </c>
      <c r="K12" s="11">
        <f>SUMIFS(Data[[Revenue]:[Revenue]],Data[[Region]:[Region]],Region,Data[[Month]:[Month]],'Data Prep'!$I12,Data[[Year]:[Year]],'Data Prep'!K$3)</f>
        <v>34881.53</v>
      </c>
      <c r="L12" s="11" t="e">
        <f>IF(I12&gt;$C$12,NA(),SUMIFS(Data[[Revenue]:[Revenue]],Data[[Region]:[Region]],Region,Data[[Month]:[Month]],'Data Prep'!$I12,Data[[Year]:[Year]],'Data Prep'!L$3))</f>
        <v>#N/A</v>
      </c>
      <c r="N12" s="8" t="s">
        <v>54</v>
      </c>
      <c r="O12" s="28"/>
      <c r="P12" s="12">
        <f>SUMIFS(Data[Revenue],Data[Store Name],'Data Prep'!N12,Data[Year],CurYear,Data[Month],CurMonth)</f>
        <v>16131.78</v>
      </c>
      <c r="Q12" s="12">
        <f>SUMIFS(Data[Revenue],Data[Store Name],'Data Prep'!N12,Data[Month],PMonth,Data[Year],PMYEAR)</f>
        <v>19646.239999999998</v>
      </c>
      <c r="R12" s="10">
        <f t="shared" si="1"/>
        <v>-0.1788871560156039</v>
      </c>
      <c r="S12" s="10"/>
      <c r="U12" s="7" t="s">
        <v>28</v>
      </c>
      <c r="V12" s="12">
        <f>SUMIFS(Data[Revenue],Data[Region],Region,Data[Year],CurYear,Data[Month],CurMonth,Data[Product Name],'Data Prep'!U12)</f>
        <v>2623.25</v>
      </c>
      <c r="W12" s="12">
        <f>SUMIFS(Data[Revenue],Data[Region],Region,Data[Year],PMYEAR,Data[Month],PMonth,Data[Product Name],'Data Prep'!U12)</f>
        <v>1783.81</v>
      </c>
      <c r="X12" s="2">
        <f t="shared" si="2"/>
        <v>839.44</v>
      </c>
      <c r="Y12">
        <f t="shared" si="3"/>
        <v>10</v>
      </c>
      <c r="Z12">
        <f t="shared" si="4"/>
        <v>32</v>
      </c>
      <c r="AB12" s="9" t="s">
        <v>110</v>
      </c>
      <c r="AC12" s="9" t="s">
        <v>74</v>
      </c>
      <c r="AD12" s="9" t="s">
        <v>46</v>
      </c>
      <c r="AE12" s="9" t="s">
        <v>108</v>
      </c>
    </row>
    <row r="13" spans="2:31" x14ac:dyDescent="0.35">
      <c r="B13" s="9" t="s">
        <v>80</v>
      </c>
      <c r="C13">
        <f>C11-1</f>
        <v>2020</v>
      </c>
      <c r="I13">
        <v>10</v>
      </c>
      <c r="J13" t="s">
        <v>100</v>
      </c>
      <c r="K13" s="11">
        <f>SUMIFS(Data[[Revenue]:[Revenue]],Data[[Region]:[Region]],Region,Data[[Month]:[Month]],'Data Prep'!$I13,Data[[Year]:[Year]],'Data Prep'!K$3)</f>
        <v>43505.939999999995</v>
      </c>
      <c r="L13" s="11" t="e">
        <f>IF(I13&gt;$C$12,NA(),SUMIFS(Data[[Revenue]:[Revenue]],Data[[Region]:[Region]],Region,Data[[Month]:[Month]],'Data Prep'!$I13,Data[[Year]:[Year]],'Data Prep'!L$3))</f>
        <v>#N/A</v>
      </c>
      <c r="N13" s="7" t="s">
        <v>58</v>
      </c>
      <c r="O13" s="27"/>
      <c r="P13" s="12">
        <f>SUMIFS(Data[Revenue],Data[Store Name],'Data Prep'!N13,Data[Year],CurYear,Data[Month],CurMonth)</f>
        <v>22152.709999999995</v>
      </c>
      <c r="Q13" s="12">
        <f>SUMIFS(Data[Revenue],Data[Store Name],'Data Prep'!N13,Data[Month],PMonth,Data[Year],PMYEAR)</f>
        <v>19305.510000000002</v>
      </c>
      <c r="R13" s="10">
        <f t="shared" si="1"/>
        <v>0.1474812113225703</v>
      </c>
      <c r="S13" s="10"/>
      <c r="U13" s="8" t="s">
        <v>32</v>
      </c>
      <c r="V13" s="12">
        <f>SUMIFS(Data[Revenue],Data[Region],Region,Data[Year],CurYear,Data[Month],CurMonth,Data[Product Name],'Data Prep'!U13)</f>
        <v>857.22</v>
      </c>
      <c r="W13" s="12">
        <f>SUMIFS(Data[Revenue],Data[Region],Region,Data[Year],PMYEAR,Data[Month],PMonth,Data[Product Name],'Data Prep'!U13)</f>
        <v>538.51</v>
      </c>
      <c r="X13" s="2">
        <f t="shared" si="2"/>
        <v>318.71000000000004</v>
      </c>
      <c r="Y13">
        <f t="shared" si="3"/>
        <v>15</v>
      </c>
      <c r="Z13">
        <f t="shared" si="4"/>
        <v>27</v>
      </c>
      <c r="AB13">
        <v>1</v>
      </c>
      <c r="AC13" t="str">
        <f>INDEX($U$4:$X$44,MATCH($AB13,$Z$4:$Z$44,0),MATCH(AC$3,$U$3:$X$3,0))</f>
        <v>Action Figure</v>
      </c>
      <c r="AD13" s="12">
        <f t="shared" ref="AD13:AE17" si="6">INDEX($U$4:$X$44,MATCH($AB13,$Z$4:$Z$44,0),MATCH(AD$3,$U$3:$X$3,0))</f>
        <v>1630.98</v>
      </c>
      <c r="AE13" s="2">
        <f t="shared" si="6"/>
        <v>-1886.8200000000002</v>
      </c>
    </row>
    <row r="14" spans="2:31" x14ac:dyDescent="0.35">
      <c r="B14" s="9" t="s">
        <v>81</v>
      </c>
      <c r="C14">
        <f>IF(C12=1,12,C12-1)</f>
        <v>6</v>
      </c>
      <c r="I14">
        <v>11</v>
      </c>
      <c r="J14" t="s">
        <v>101</v>
      </c>
      <c r="K14" s="11">
        <f>SUMIFS(Data[[Revenue]:[Revenue]],Data[[Region]:[Region]],Region,Data[[Month]:[Month]],'Data Prep'!$I14,Data[[Year]:[Year]],'Data Prep'!K$3)</f>
        <v>43677.41</v>
      </c>
      <c r="L14" s="11" t="e">
        <f>IF(I14&gt;$C$12,NA(),SUMIFS(Data[[Revenue]:[Revenue]],Data[[Region]:[Region]],Region,Data[[Month]:[Month]],'Data Prep'!$I14,Data[[Year]:[Year]],'Data Prep'!L$3))</f>
        <v>#N/A</v>
      </c>
      <c r="U14" s="7" t="s">
        <v>31</v>
      </c>
      <c r="V14" s="12">
        <f>SUMIFS(Data[Revenue],Data[Region],Region,Data[Year],CurYear,Data[Month],CurMonth,Data[Product Name],'Data Prep'!U14)</f>
        <v>2878.5599999999995</v>
      </c>
      <c r="W14" s="12">
        <f>SUMIFS(Data[Revenue],Data[Region],Region,Data[Year],PMYEAR,Data[Month],PMonth,Data[Product Name],'Data Prep'!U14)</f>
        <v>1299.3499999999999</v>
      </c>
      <c r="X14" s="2">
        <f t="shared" si="2"/>
        <v>1579.2099999999996</v>
      </c>
      <c r="Y14">
        <f t="shared" si="3"/>
        <v>4</v>
      </c>
      <c r="Z14">
        <f t="shared" si="4"/>
        <v>38</v>
      </c>
      <c r="AB14">
        <v>2</v>
      </c>
      <c r="AC14" t="str">
        <f t="shared" ref="AC14:AC17" si="7">INDEX($U$4:$X$44,MATCH($AB14,$Z$4:$Z$44,0),MATCH(AC$3,$U$3:$X$3,0))</f>
        <v>Lego Bricks</v>
      </c>
      <c r="AD14" s="12">
        <f t="shared" si="6"/>
        <v>8517.8700000000008</v>
      </c>
      <c r="AE14" s="2">
        <f t="shared" si="6"/>
        <v>-1639.5900000000001</v>
      </c>
    </row>
    <row r="15" spans="2:31" x14ac:dyDescent="0.35">
      <c r="B15" s="9" t="s">
        <v>104</v>
      </c>
      <c r="C15">
        <f>IF(CurMonth=1,C13,C11)</f>
        <v>2021</v>
      </c>
      <c r="I15">
        <v>12</v>
      </c>
      <c r="J15" t="s">
        <v>102</v>
      </c>
      <c r="K15" s="11">
        <f>SUMIFS(Data[[Revenue]:[Revenue]],Data[[Region]:[Region]],Region,Data[[Month]:[Month]],'Data Prep'!$I15,Data[[Year]:[Year]],'Data Prep'!K$3)</f>
        <v>61614.720000000001</v>
      </c>
      <c r="L15" s="11" t="e">
        <f>IF(I15&gt;$C$12,NA(),SUMIFS(Data[[Revenue]:[Revenue]],Data[[Region]:[Region]],Region,Data[[Month]:[Month]],'Data Prep'!$I15,Data[[Year]:[Year]],'Data Prep'!L$3))</f>
        <v>#N/A</v>
      </c>
      <c r="U15" s="8" t="s">
        <v>15</v>
      </c>
      <c r="V15" s="12">
        <f>SUMIFS(Data[Revenue],Data[Region],Region,Data[Year],CurYear,Data[Month],CurMonth,Data[Product Name],'Data Prep'!U15)</f>
        <v>8517.8700000000008</v>
      </c>
      <c r="W15" s="12">
        <f>SUMIFS(Data[Revenue],Data[Region],Region,Data[Year],PMYEAR,Data[Month],PMonth,Data[Product Name],'Data Prep'!U15)</f>
        <v>10157.460000000001</v>
      </c>
      <c r="X15" s="2">
        <f t="shared" si="2"/>
        <v>-1639.5900000000001</v>
      </c>
      <c r="Y15">
        <f t="shared" si="3"/>
        <v>40</v>
      </c>
      <c r="Z15">
        <f t="shared" si="4"/>
        <v>2</v>
      </c>
      <c r="AB15">
        <v>3</v>
      </c>
      <c r="AC15" t="str">
        <f t="shared" si="7"/>
        <v>Gamer Headset</v>
      </c>
      <c r="AD15" s="12">
        <f t="shared" si="6"/>
        <v>776.62999999999988</v>
      </c>
      <c r="AE15" s="2">
        <f t="shared" si="6"/>
        <v>-944.55</v>
      </c>
    </row>
    <row r="16" spans="2:31" x14ac:dyDescent="0.35">
      <c r="U16" s="7" t="s">
        <v>71</v>
      </c>
      <c r="V16" s="12">
        <f>SUMIFS(Data[Revenue],Data[Region],Region,Data[Year],CurYear,Data[Month],CurMonth,Data[Product Name],'Data Prep'!U16)</f>
        <v>369.63</v>
      </c>
      <c r="W16" s="12">
        <f>SUMIFS(Data[Revenue],Data[Region],Region,Data[Year],PMYEAR,Data[Month],PMonth,Data[Product Name],'Data Prep'!U16)</f>
        <v>699.3</v>
      </c>
      <c r="X16" s="2">
        <f t="shared" si="2"/>
        <v>-329.66999999999996</v>
      </c>
      <c r="Y16">
        <f t="shared" si="3"/>
        <v>37</v>
      </c>
      <c r="Z16">
        <f t="shared" si="4"/>
        <v>5</v>
      </c>
      <c r="AB16">
        <v>4</v>
      </c>
      <c r="AC16" t="str">
        <f t="shared" si="7"/>
        <v>Magic Sand</v>
      </c>
      <c r="AD16" s="12">
        <f t="shared" si="6"/>
        <v>4924.92</v>
      </c>
      <c r="AE16" s="2">
        <f t="shared" si="6"/>
        <v>-591.6299999999992</v>
      </c>
    </row>
    <row r="17" spans="21:31" x14ac:dyDescent="0.35">
      <c r="U17" s="8" t="s">
        <v>19</v>
      </c>
      <c r="V17" s="12">
        <f>SUMIFS(Data[Revenue],Data[Region],Region,Data[Year],CurYear,Data[Month],CurMonth,Data[Product Name],'Data Prep'!U17)</f>
        <v>0</v>
      </c>
      <c r="W17" s="12">
        <f>SUMIFS(Data[Revenue],Data[Region],Region,Data[Year],PMYEAR,Data[Month],PMonth,Data[Product Name],'Data Prep'!U17)</f>
        <v>119.94</v>
      </c>
      <c r="X17" s="2">
        <f t="shared" si="2"/>
        <v>-119.94</v>
      </c>
      <c r="Y17">
        <f t="shared" si="3"/>
        <v>31</v>
      </c>
      <c r="Z17">
        <f t="shared" si="4"/>
        <v>11</v>
      </c>
      <c r="AB17">
        <v>5</v>
      </c>
      <c r="AC17" t="str">
        <f t="shared" si="7"/>
        <v>Mini Ping Pong</v>
      </c>
      <c r="AD17" s="12">
        <f t="shared" si="6"/>
        <v>369.63</v>
      </c>
      <c r="AE17" s="2">
        <f t="shared" si="6"/>
        <v>-329.66999999999996</v>
      </c>
    </row>
    <row r="18" spans="21:31" x14ac:dyDescent="0.35">
      <c r="U18" s="7" t="s">
        <v>27</v>
      </c>
      <c r="V18" s="12">
        <f>SUMIFS(Data[Revenue],Data[Region],Region,Data[Year],CurYear,Data[Month],CurMonth,Data[Product Name],'Data Prep'!U18)</f>
        <v>1034.5400000000002</v>
      </c>
      <c r="W18" s="12">
        <f>SUMIFS(Data[Revenue],Data[Region],Region,Data[Year],PMYEAR,Data[Month],PMonth,Data[Product Name],'Data Prep'!U18)</f>
        <v>1043.5100000000002</v>
      </c>
      <c r="X18" s="2">
        <f t="shared" si="2"/>
        <v>-8.9700000000000273</v>
      </c>
      <c r="Y18">
        <f t="shared" si="3"/>
        <v>28</v>
      </c>
      <c r="Z18">
        <f t="shared" si="4"/>
        <v>14</v>
      </c>
    </row>
    <row r="19" spans="21:31" x14ac:dyDescent="0.35">
      <c r="U19" s="8" t="s">
        <v>11</v>
      </c>
      <c r="V19" s="12">
        <f>SUMIFS(Data[Revenue],Data[Region],Region,Data[Year],CurYear,Data[Month],CurMonth,Data[Product Name],'Data Prep'!U19)</f>
        <v>494.01</v>
      </c>
      <c r="W19" s="12">
        <f>SUMIFS(Data[Revenue],Data[Region],Region,Data[Year],PMYEAR,Data[Month],PMonth,Data[Product Name],'Data Prep'!U19)</f>
        <v>404.19</v>
      </c>
      <c r="X19" s="2">
        <f t="shared" si="2"/>
        <v>89.82</v>
      </c>
      <c r="Y19">
        <f t="shared" si="3"/>
        <v>20</v>
      </c>
      <c r="Z19">
        <f t="shared" si="4"/>
        <v>22</v>
      </c>
    </row>
    <row r="20" spans="21:31" x14ac:dyDescent="0.35">
      <c r="U20" s="7" t="s">
        <v>26</v>
      </c>
      <c r="V20" s="12">
        <f>SUMIFS(Data[Revenue],Data[Region],Region,Data[Year],CurYear,Data[Month],CurMonth,Data[Product Name],'Data Prep'!U20)</f>
        <v>5037.4799999999996</v>
      </c>
      <c r="W20" s="12">
        <f>SUMIFS(Data[Revenue],Data[Region],Region,Data[Year],PMYEAR,Data[Month],PMonth,Data[Product Name],'Data Prep'!U20)</f>
        <v>2238.88</v>
      </c>
      <c r="X20" s="2">
        <f t="shared" si="2"/>
        <v>2798.5999999999995</v>
      </c>
      <c r="Y20">
        <f t="shared" si="3"/>
        <v>2</v>
      </c>
      <c r="Z20">
        <f t="shared" si="4"/>
        <v>40</v>
      </c>
    </row>
    <row r="21" spans="21:31" x14ac:dyDescent="0.35">
      <c r="U21" s="8" t="s">
        <v>6</v>
      </c>
      <c r="V21" s="12">
        <f>SUMIFS(Data[Revenue],Data[Region],Region,Data[Year],CurYear,Data[Month],CurMonth,Data[Product Name],'Data Prep'!U21)</f>
        <v>2238.5100000000002</v>
      </c>
      <c r="W21" s="12">
        <f>SUMIFS(Data[Revenue],Data[Region],Region,Data[Year],PMYEAR,Data[Month],PMonth,Data[Product Name],'Data Prep'!U21)</f>
        <v>952.94</v>
      </c>
      <c r="X21" s="2">
        <f t="shared" si="2"/>
        <v>1285.5700000000002</v>
      </c>
      <c r="Y21">
        <f t="shared" si="3"/>
        <v>7</v>
      </c>
      <c r="Z21">
        <f t="shared" si="4"/>
        <v>35</v>
      </c>
    </row>
    <row r="22" spans="21:31" x14ac:dyDescent="0.35">
      <c r="U22" s="7" t="s">
        <v>16</v>
      </c>
      <c r="V22" s="12">
        <f>SUMIFS(Data[Revenue],Data[Region],Region,Data[Year],CurYear,Data[Month],CurMonth,Data[Product Name],'Data Prep'!U22)</f>
        <v>545.57999999999993</v>
      </c>
      <c r="W22" s="12">
        <f>SUMIFS(Data[Revenue],Data[Region],Region,Data[Year],PMYEAR,Data[Month],PMonth,Data[Product Name],'Data Prep'!U22)</f>
        <v>233.82000000000002</v>
      </c>
      <c r="X22" s="2">
        <f t="shared" si="2"/>
        <v>311.75999999999988</v>
      </c>
      <c r="Y22">
        <f t="shared" si="3"/>
        <v>16</v>
      </c>
      <c r="Z22">
        <f t="shared" si="4"/>
        <v>26</v>
      </c>
    </row>
    <row r="23" spans="21:31" x14ac:dyDescent="0.35">
      <c r="U23" s="8" t="s">
        <v>23</v>
      </c>
      <c r="V23" s="12">
        <f>SUMIFS(Data[Revenue],Data[Region],Region,Data[Year],CurYear,Data[Month],CurMonth,Data[Product Name],'Data Prep'!U23)</f>
        <v>1663.3599999999997</v>
      </c>
      <c r="W23" s="12">
        <f>SUMIFS(Data[Revenue],Data[Region],Region,Data[Year],PMYEAR,Data[Month],PMonth,Data[Product Name],'Data Prep'!U23)</f>
        <v>337.87</v>
      </c>
      <c r="X23" s="2">
        <f t="shared" si="2"/>
        <v>1325.4899999999998</v>
      </c>
      <c r="Y23">
        <f t="shared" si="3"/>
        <v>6</v>
      </c>
      <c r="Z23">
        <f t="shared" si="4"/>
        <v>36</v>
      </c>
    </row>
    <row r="24" spans="21:31" x14ac:dyDescent="0.35">
      <c r="U24" s="7" t="s">
        <v>10</v>
      </c>
      <c r="V24" s="12">
        <f>SUMIFS(Data[Revenue],Data[Region],Region,Data[Year],CurYear,Data[Month],CurMonth,Data[Product Name],'Data Prep'!U24)</f>
        <v>2338.83</v>
      </c>
      <c r="W24" s="12">
        <f>SUMIFS(Data[Revenue],Data[Region],Region,Data[Year],PMYEAR,Data[Month],PMonth,Data[Product Name],'Data Prep'!U24)</f>
        <v>999.5</v>
      </c>
      <c r="X24" s="2">
        <f t="shared" si="2"/>
        <v>1339.33</v>
      </c>
      <c r="Y24">
        <f t="shared" si="3"/>
        <v>5</v>
      </c>
      <c r="Z24">
        <f t="shared" si="4"/>
        <v>37</v>
      </c>
    </row>
    <row r="25" spans="21:31" x14ac:dyDescent="0.35">
      <c r="U25" s="7" t="s">
        <v>66</v>
      </c>
      <c r="V25" s="12">
        <f>SUMIFS(Data[Revenue],Data[Region],Region,Data[Year],CurYear,Data[Month],CurMonth,Data[Product Name],'Data Prep'!U25)</f>
        <v>0</v>
      </c>
      <c r="W25" s="12">
        <f>SUMIFS(Data[Revenue],Data[Region],Region,Data[Year],PMYEAR,Data[Month],PMonth,Data[Product Name],'Data Prep'!U25)</f>
        <v>124.94999999999999</v>
      </c>
      <c r="X25" s="2">
        <f t="shared" si="2"/>
        <v>-124.94999999999999</v>
      </c>
      <c r="Y25">
        <f t="shared" si="3"/>
        <v>32</v>
      </c>
      <c r="Z25">
        <f t="shared" si="4"/>
        <v>10</v>
      </c>
    </row>
    <row r="26" spans="21:31" x14ac:dyDescent="0.35">
      <c r="U26" s="8" t="s">
        <v>29</v>
      </c>
      <c r="V26" s="12">
        <f>SUMIFS(Data[Revenue],Data[Region],Region,Data[Year],CurYear,Data[Month],CurMonth,Data[Product Name],'Data Prep'!U26)</f>
        <v>0</v>
      </c>
      <c r="W26" s="12">
        <f>SUMIFS(Data[Revenue],Data[Region],Region,Data[Year],PMYEAR,Data[Month],PMonth,Data[Product Name],'Data Prep'!U26)</f>
        <v>87.89</v>
      </c>
      <c r="X26" s="2">
        <f t="shared" si="2"/>
        <v>-87.89</v>
      </c>
      <c r="Y26">
        <f t="shared" si="3"/>
        <v>29</v>
      </c>
      <c r="Z26">
        <f t="shared" si="4"/>
        <v>13</v>
      </c>
    </row>
    <row r="27" spans="21:31" x14ac:dyDescent="0.35">
      <c r="U27" s="7" t="s">
        <v>34</v>
      </c>
      <c r="V27" s="12">
        <f>SUMIFS(Data[Revenue],Data[Region],Region,Data[Year],CurYear,Data[Month],CurMonth,Data[Product Name],'Data Prep'!U27)</f>
        <v>1181.04</v>
      </c>
      <c r="W27" s="12">
        <f>SUMIFS(Data[Revenue],Data[Region],Region,Data[Year],PMYEAR,Data[Month],PMonth,Data[Product Name],'Data Prep'!U27)</f>
        <v>1500.2400000000002</v>
      </c>
      <c r="X27" s="2">
        <f t="shared" si="2"/>
        <v>-319.20000000000027</v>
      </c>
      <c r="Y27">
        <f t="shared" si="3"/>
        <v>36</v>
      </c>
      <c r="Z27">
        <f t="shared" si="4"/>
        <v>6</v>
      </c>
    </row>
    <row r="28" spans="21:31" x14ac:dyDescent="0.35">
      <c r="U28" s="8" t="s">
        <v>70</v>
      </c>
      <c r="V28" s="12">
        <f>SUMIFS(Data[Revenue],Data[Region],Region,Data[Year],CurYear,Data[Month],CurMonth,Data[Product Name],'Data Prep'!U28)</f>
        <v>814.6400000000001</v>
      </c>
      <c r="W28" s="12">
        <f>SUMIFS(Data[Revenue],Data[Region],Region,Data[Year],PMYEAR,Data[Month],PMonth,Data[Product Name],'Data Prep'!U28)</f>
        <v>173.71</v>
      </c>
      <c r="X28" s="2">
        <f t="shared" si="2"/>
        <v>640.93000000000006</v>
      </c>
      <c r="Y28">
        <f t="shared" si="3"/>
        <v>11</v>
      </c>
      <c r="Z28">
        <f t="shared" si="4"/>
        <v>31</v>
      </c>
    </row>
    <row r="29" spans="21:31" x14ac:dyDescent="0.35">
      <c r="U29" s="7" t="s">
        <v>67</v>
      </c>
      <c r="V29" s="12">
        <f>SUMIFS(Data[Revenue],Data[Region],Region,Data[Year],CurYear,Data[Month],CurMonth,Data[Product Name],'Data Prep'!U29)</f>
        <v>59.96</v>
      </c>
      <c r="W29" s="12">
        <f>SUMIFS(Data[Revenue],Data[Region],Region,Data[Year],PMYEAR,Data[Month],PMonth,Data[Product Name],'Data Prep'!U29)</f>
        <v>209.86</v>
      </c>
      <c r="X29" s="2">
        <f t="shared" si="2"/>
        <v>-149.9</v>
      </c>
      <c r="Y29">
        <f t="shared" si="3"/>
        <v>34</v>
      </c>
      <c r="Z29">
        <f t="shared" si="4"/>
        <v>8</v>
      </c>
    </row>
    <row r="30" spans="21:31" x14ac:dyDescent="0.35">
      <c r="U30" s="7" t="s">
        <v>37</v>
      </c>
      <c r="V30" s="12">
        <f>SUMIFS(Data[Revenue],Data[Region],Region,Data[Year],CurYear,Data[Month],CurMonth,Data[Product Name],'Data Prep'!U30)</f>
        <v>949.61999999999989</v>
      </c>
      <c r="W30" s="12">
        <f>SUMIFS(Data[Revenue],Data[Region],Region,Data[Year],PMYEAR,Data[Month],PMonth,Data[Product Name],'Data Prep'!U30)</f>
        <v>724.70999999999992</v>
      </c>
      <c r="X30" s="2">
        <f t="shared" si="2"/>
        <v>224.90999999999997</v>
      </c>
      <c r="Y30">
        <f t="shared" si="3"/>
        <v>18</v>
      </c>
      <c r="Z30">
        <f t="shared" si="4"/>
        <v>24</v>
      </c>
    </row>
    <row r="31" spans="21:31" x14ac:dyDescent="0.35">
      <c r="U31" s="7" t="s">
        <v>38</v>
      </c>
      <c r="V31" s="12">
        <f>SUMIFS(Data[Revenue],Data[Region],Region,Data[Year],CurYear,Data[Month],CurMonth,Data[Product Name],'Data Prep'!U31)</f>
        <v>189.81</v>
      </c>
      <c r="W31" s="12">
        <f>SUMIFS(Data[Revenue],Data[Region],Region,Data[Year],PMYEAR,Data[Month],PMonth,Data[Product Name],'Data Prep'!U31)</f>
        <v>329.66999999999996</v>
      </c>
      <c r="X31" s="2">
        <f t="shared" si="2"/>
        <v>-139.85999999999996</v>
      </c>
      <c r="Y31">
        <f t="shared" si="3"/>
        <v>33</v>
      </c>
      <c r="Z31">
        <f t="shared" si="4"/>
        <v>9</v>
      </c>
    </row>
    <row r="32" spans="21:31" x14ac:dyDescent="0.35">
      <c r="U32" s="8" t="s">
        <v>39</v>
      </c>
      <c r="V32" s="12">
        <f>SUMIFS(Data[Revenue],Data[Region],Region,Data[Year],CurYear,Data[Month],CurMonth,Data[Product Name],'Data Prep'!U32)</f>
        <v>1439.2799999999997</v>
      </c>
      <c r="W32" s="12">
        <f>SUMIFS(Data[Revenue],Data[Region],Region,Data[Year],PMYEAR,Data[Month],PMonth,Data[Product Name],'Data Prep'!U32)</f>
        <v>899.55</v>
      </c>
      <c r="X32" s="2">
        <f t="shared" si="2"/>
        <v>539.72999999999979</v>
      </c>
      <c r="Y32">
        <f t="shared" si="3"/>
        <v>14</v>
      </c>
      <c r="Z32">
        <f t="shared" si="4"/>
        <v>28</v>
      </c>
    </row>
    <row r="33" spans="21:26" x14ac:dyDescent="0.35">
      <c r="U33" s="8" t="s">
        <v>68</v>
      </c>
      <c r="V33" s="12">
        <f>SUMIFS(Data[Revenue],Data[Region],Region,Data[Year],CurYear,Data[Month],CurMonth,Data[Product Name],'Data Prep'!U33)</f>
        <v>776.62999999999988</v>
      </c>
      <c r="W33" s="12">
        <f>SUMIFS(Data[Revenue],Data[Region],Region,Data[Year],PMYEAR,Data[Month],PMonth,Data[Product Name],'Data Prep'!U33)</f>
        <v>1721.1799999999998</v>
      </c>
      <c r="X33" s="2">
        <f t="shared" si="2"/>
        <v>-944.55</v>
      </c>
      <c r="Y33">
        <f t="shared" si="3"/>
        <v>39</v>
      </c>
      <c r="Z33">
        <f t="shared" si="4"/>
        <v>3</v>
      </c>
    </row>
    <row r="34" spans="21:26" x14ac:dyDescent="0.35">
      <c r="U34" s="8" t="s">
        <v>42</v>
      </c>
      <c r="V34" s="12">
        <f>SUMIFS(Data[Revenue],Data[Region],Region,Data[Year],CurYear,Data[Month],CurMonth,Data[Product Name],'Data Prep'!U34)</f>
        <v>4924.92</v>
      </c>
      <c r="W34" s="12">
        <f>SUMIFS(Data[Revenue],Data[Region],Region,Data[Year],PMYEAR,Data[Month],PMonth,Data[Product Name],'Data Prep'!U34)</f>
        <v>5516.5499999999993</v>
      </c>
      <c r="X34" s="2">
        <f t="shared" si="2"/>
        <v>-591.6299999999992</v>
      </c>
      <c r="Y34">
        <f t="shared" si="3"/>
        <v>38</v>
      </c>
      <c r="Z34">
        <f t="shared" si="4"/>
        <v>4</v>
      </c>
    </row>
    <row r="35" spans="21:26" x14ac:dyDescent="0.35">
      <c r="U35" s="7" t="s">
        <v>41</v>
      </c>
      <c r="V35" s="12">
        <f>SUMIFS(Data[Revenue],Data[Region],Region,Data[Year],CurYear,Data[Month],CurMonth,Data[Product Name],'Data Prep'!U35)</f>
        <v>409.59</v>
      </c>
      <c r="W35" s="12">
        <f>SUMIFS(Data[Revenue],Data[Region],Region,Data[Year],PMYEAR,Data[Month],PMonth,Data[Product Name],'Data Prep'!U35)</f>
        <v>519.48</v>
      </c>
      <c r="X35" s="2">
        <f t="shared" si="2"/>
        <v>-109.89000000000004</v>
      </c>
      <c r="Y35">
        <f t="shared" si="3"/>
        <v>30</v>
      </c>
      <c r="Z35">
        <f t="shared" si="4"/>
        <v>12</v>
      </c>
    </row>
    <row r="36" spans="21:26" x14ac:dyDescent="0.35">
      <c r="U36" s="8" t="s">
        <v>43</v>
      </c>
      <c r="V36" s="12">
        <f>SUMIFS(Data[Revenue],Data[Region],Region,Data[Year],CurYear,Data[Month],CurMonth,Data[Product Name],'Data Prep'!U36)</f>
        <v>3442.3599999999997</v>
      </c>
      <c r="W36" s="12">
        <f>SUMIFS(Data[Revenue],Data[Region],Region,Data[Year],PMYEAR,Data[Month],PMonth,Data[Product Name],'Data Prep'!U36)</f>
        <v>503.75999999999993</v>
      </c>
      <c r="X36" s="2">
        <f t="shared" si="2"/>
        <v>2938.6</v>
      </c>
      <c r="Y36">
        <f t="shared" si="3"/>
        <v>1</v>
      </c>
      <c r="Z36">
        <f t="shared" si="4"/>
        <v>41</v>
      </c>
    </row>
    <row r="37" spans="21:26" x14ac:dyDescent="0.35">
      <c r="U37" s="8" t="s">
        <v>69</v>
      </c>
      <c r="V37" s="12">
        <f>SUMIFS(Data[Revenue],Data[Region],Region,Data[Year],CurYear,Data[Month],CurMonth,Data[Product Name],'Data Prep'!U37)</f>
        <v>887.26</v>
      </c>
      <c r="W37" s="12">
        <f>SUMIFS(Data[Revenue],Data[Region],Region,Data[Year],PMYEAR,Data[Month],PMonth,Data[Product Name],'Data Prep'!U37)</f>
        <v>323.73</v>
      </c>
      <c r="X37" s="2">
        <f t="shared" si="2"/>
        <v>563.53</v>
      </c>
      <c r="Y37">
        <f t="shared" si="3"/>
        <v>13</v>
      </c>
      <c r="Z37">
        <f t="shared" si="4"/>
        <v>29</v>
      </c>
    </row>
    <row r="38" spans="21:26" x14ac:dyDescent="0.35">
      <c r="U38" s="7" t="s">
        <v>44</v>
      </c>
      <c r="V38" s="12">
        <f>SUMIFS(Data[Revenue],Data[Region],Region,Data[Year],CurYear,Data[Month],CurMonth,Data[Product Name],'Data Prep'!U38)</f>
        <v>0</v>
      </c>
      <c r="W38" s="12">
        <f>SUMIFS(Data[Revenue],Data[Region],Region,Data[Year],PMYEAR,Data[Month],PMonth,Data[Product Name],'Data Prep'!U38)</f>
        <v>0</v>
      </c>
      <c r="X38" s="2">
        <f t="shared" si="2"/>
        <v>0</v>
      </c>
      <c r="Y38">
        <f t="shared" si="3"/>
        <v>24</v>
      </c>
      <c r="Z38">
        <f t="shared" si="4"/>
        <v>18</v>
      </c>
    </row>
    <row r="39" spans="21:26" x14ac:dyDescent="0.35">
      <c r="U39" s="8" t="s">
        <v>40</v>
      </c>
      <c r="V39" s="12">
        <f>SUMIFS(Data[Revenue],Data[Region],Region,Data[Year],CurYear,Data[Month],CurMonth,Data[Product Name],'Data Prep'!U39)</f>
        <v>0</v>
      </c>
      <c r="W39" s="12">
        <f>SUMIFS(Data[Revenue],Data[Region],Region,Data[Year],PMYEAR,Data[Month],PMonth,Data[Product Name],'Data Prep'!U39)</f>
        <v>0</v>
      </c>
      <c r="X39" s="2">
        <f t="shared" si="2"/>
        <v>0</v>
      </c>
      <c r="Y39">
        <f t="shared" si="3"/>
        <v>24</v>
      </c>
      <c r="Z39">
        <f t="shared" si="4"/>
        <v>18</v>
      </c>
    </row>
    <row r="40" spans="21:26" x14ac:dyDescent="0.35">
      <c r="U40" s="7" t="s">
        <v>22</v>
      </c>
      <c r="V40" s="12">
        <f>SUMIFS(Data[Revenue],Data[Region],Region,Data[Year],CurYear,Data[Month],CurMonth,Data[Product Name],'Data Prep'!U40)</f>
        <v>0</v>
      </c>
      <c r="W40" s="12">
        <f>SUMIFS(Data[Revenue],Data[Region],Region,Data[Year],PMYEAR,Data[Month],PMonth,Data[Product Name],'Data Prep'!U40)</f>
        <v>0</v>
      </c>
      <c r="X40" s="2">
        <f t="shared" si="2"/>
        <v>0</v>
      </c>
      <c r="Y40">
        <f t="shared" si="3"/>
        <v>24</v>
      </c>
      <c r="Z40">
        <f t="shared" si="4"/>
        <v>18</v>
      </c>
    </row>
    <row r="41" spans="21:26" x14ac:dyDescent="0.35">
      <c r="U41" s="8" t="s">
        <v>45</v>
      </c>
      <c r="V41" s="12">
        <f>SUMIFS(Data[Revenue],Data[Region],Region,Data[Year],CurYear,Data[Month],CurMonth,Data[Product Name],'Data Prep'!U41)</f>
        <v>0</v>
      </c>
      <c r="W41" s="12">
        <f>SUMIFS(Data[Revenue],Data[Region],Region,Data[Year],PMYEAR,Data[Month],PMonth,Data[Product Name],'Data Prep'!U41)</f>
        <v>0</v>
      </c>
      <c r="X41" s="2">
        <f t="shared" si="2"/>
        <v>0</v>
      </c>
      <c r="Y41">
        <f t="shared" si="3"/>
        <v>24</v>
      </c>
      <c r="Z41">
        <f t="shared" si="4"/>
        <v>18</v>
      </c>
    </row>
    <row r="42" spans="21:26" x14ac:dyDescent="0.35">
      <c r="U42" s="8" t="s">
        <v>36</v>
      </c>
      <c r="V42" s="12">
        <f>SUMIFS(Data[Revenue],Data[Region],Region,Data[Year],CurYear,Data[Month],CurMonth,Data[Product Name],'Data Prep'!U42)</f>
        <v>0</v>
      </c>
      <c r="W42" s="12">
        <f>SUMIFS(Data[Revenue],Data[Region],Region,Data[Year],PMYEAR,Data[Month],PMonth,Data[Product Name],'Data Prep'!U42)</f>
        <v>0</v>
      </c>
      <c r="X42" s="2">
        <f t="shared" si="2"/>
        <v>0</v>
      </c>
      <c r="Y42">
        <f t="shared" si="3"/>
        <v>24</v>
      </c>
      <c r="Z42">
        <f t="shared" si="4"/>
        <v>18</v>
      </c>
    </row>
    <row r="43" spans="21:26" x14ac:dyDescent="0.35">
      <c r="U43" s="8" t="s">
        <v>35</v>
      </c>
      <c r="V43" s="12">
        <f>SUMIFS(Data[Revenue],Data[Region],Region,Data[Year],CurYear,Data[Month],CurMonth,Data[Product Name],'Data Prep'!U43)</f>
        <v>0</v>
      </c>
      <c r="W43" s="12">
        <f>SUMIFS(Data[Revenue],Data[Region],Region,Data[Year],PMYEAR,Data[Month],PMonth,Data[Product Name],'Data Prep'!U43)</f>
        <v>0</v>
      </c>
      <c r="X43" s="2">
        <f t="shared" si="2"/>
        <v>0</v>
      </c>
      <c r="Y43">
        <f t="shared" si="3"/>
        <v>24</v>
      </c>
      <c r="Z43">
        <f t="shared" si="4"/>
        <v>18</v>
      </c>
    </row>
    <row r="44" spans="21:26" x14ac:dyDescent="0.35">
      <c r="U44" s="7" t="s">
        <v>33</v>
      </c>
      <c r="V44" s="12">
        <f>SUMIFS(Data[Revenue],Data[Region],Region,Data[Year],CurYear,Data[Month],CurMonth,Data[Product Name],'Data Prep'!U44)</f>
        <v>0</v>
      </c>
      <c r="W44" s="12">
        <f>SUMIFS(Data[Revenue],Data[Region],Region,Data[Year],PMYEAR,Data[Month],PMonth,Data[Product Name],'Data Prep'!U44)</f>
        <v>0</v>
      </c>
      <c r="X44" s="2">
        <f t="shared" si="2"/>
        <v>0</v>
      </c>
      <c r="Y44">
        <f t="shared" si="3"/>
        <v>24</v>
      </c>
      <c r="Z44">
        <f t="shared" si="4"/>
        <v>18</v>
      </c>
    </row>
  </sheetData>
  <mergeCells count="8">
    <mergeCell ref="AB2:AE2"/>
    <mergeCell ref="AB11:AE11"/>
    <mergeCell ref="N2:R2"/>
    <mergeCell ref="U2:X2"/>
    <mergeCell ref="B4:C4"/>
    <mergeCell ref="B10:C10"/>
    <mergeCell ref="E4:F4"/>
    <mergeCell ref="I2:L2"/>
  </mergeCells>
  <conditionalFormatting sqref="F8:F9">
    <cfRule type="cellIs" dxfId="1" priority="2" operator="greaterThan">
      <formula>0</formula>
    </cfRule>
  </conditionalFormatting>
  <conditionalFormatting sqref="F8:F9">
    <cfRule type="cellIs" dxfId="0" priority="1" operator="lessThan">
      <formula>0</formula>
    </cfRule>
  </conditionalFormatting>
  <dataValidations count="1">
    <dataValidation type="list" allowBlank="1" showInputMessage="1" showErrorMessage="1" sqref="C6" xr:uid="{01E28ED4-BE5B-4FBA-8992-CBFFE7181518}">
      <formula1>$B$6:$B$8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94CD-F793-4AD9-AA69-F8E7E6C98284}">
  <dimension ref="B5:Y27"/>
  <sheetViews>
    <sheetView showGridLines="0" tabSelected="1" zoomScale="70" zoomScaleNormal="77" workbookViewId="0">
      <selection activeCell="W21" sqref="W21"/>
    </sheetView>
  </sheetViews>
  <sheetFormatPr defaultRowHeight="14.5" x14ac:dyDescent="0.35"/>
  <cols>
    <col min="2" max="2" width="11.453125" bestFit="1" customWidth="1"/>
    <col min="3" max="3" width="15.453125" bestFit="1" customWidth="1"/>
    <col min="20" max="20" width="15.6328125" bestFit="1" customWidth="1"/>
    <col min="21" max="21" width="16.08984375" bestFit="1" customWidth="1"/>
    <col min="22" max="22" width="10.90625" bestFit="1" customWidth="1"/>
    <col min="23" max="23" width="17.08984375" bestFit="1" customWidth="1"/>
    <col min="24" max="24" width="3.90625" customWidth="1"/>
  </cols>
  <sheetData>
    <row r="5" spans="2:25" ht="21" x14ac:dyDescent="0.5">
      <c r="B5" s="25" t="s">
        <v>115</v>
      </c>
      <c r="C5" s="26" t="s">
        <v>4</v>
      </c>
    </row>
    <row r="8" spans="2:25" ht="16.5" customHeight="1" x14ac:dyDescent="0.35"/>
    <row r="9" spans="2:25" x14ac:dyDescent="0.35">
      <c r="Y9" s="16"/>
    </row>
    <row r="10" spans="2:25" ht="18.5" x14ac:dyDescent="0.45">
      <c r="T10" s="17" t="s">
        <v>113</v>
      </c>
      <c r="U10" s="17" t="s">
        <v>112</v>
      </c>
      <c r="V10" s="17" t="s">
        <v>114</v>
      </c>
    </row>
    <row r="11" spans="2:25" ht="15.5" x14ac:dyDescent="0.35">
      <c r="T11" s="18" t="str">
        <f>'Data Prep'!AC4</f>
        <v>Etch A Sketch</v>
      </c>
      <c r="U11" s="20">
        <f>'Data Prep'!AD4</f>
        <v>3442.3599999999997</v>
      </c>
      <c r="V11" s="20">
        <f>'Data Prep'!AE4</f>
        <v>2938.6</v>
      </c>
    </row>
    <row r="12" spans="2:25" ht="15.5" x14ac:dyDescent="0.35">
      <c r="T12" s="18" t="str">
        <f>'Data Prep'!AC5</f>
        <v>Rubik's Cube</v>
      </c>
      <c r="U12" s="20">
        <f>'Data Prep'!AD5</f>
        <v>5037.4799999999996</v>
      </c>
      <c r="V12" s="20">
        <f>'Data Prep'!AE5</f>
        <v>2798.5999999999995</v>
      </c>
    </row>
    <row r="13" spans="2:25" ht="15.5" x14ac:dyDescent="0.35">
      <c r="T13" s="18" t="str">
        <f>'Data Prep'!AC6</f>
        <v>Colorbuds</v>
      </c>
      <c r="U13" s="20">
        <f>'Data Prep'!AD6</f>
        <v>5291.47</v>
      </c>
      <c r="V13" s="20">
        <f>'Data Prep'!AE6</f>
        <v>2248.5000000000005</v>
      </c>
    </row>
    <row r="14" spans="2:25" ht="15.5" x14ac:dyDescent="0.35">
      <c r="T14" s="18" t="str">
        <f>'Data Prep'!AC7</f>
        <v>Kids Makeup Kit</v>
      </c>
      <c r="U14" s="20">
        <f>'Data Prep'!AD7</f>
        <v>2878.5599999999995</v>
      </c>
      <c r="V14" s="20">
        <f>'Data Prep'!AE7</f>
        <v>1579.2099999999996</v>
      </c>
    </row>
    <row r="15" spans="2:25" ht="15.5" x14ac:dyDescent="0.35">
      <c r="T15" s="18" t="str">
        <f>'Data Prep'!AC8</f>
        <v>Nerf Gun</v>
      </c>
      <c r="U15" s="20">
        <f>'Data Prep'!AD8</f>
        <v>2338.83</v>
      </c>
      <c r="V15" s="23">
        <f>'Data Prep'!AE8</f>
        <v>1339.33</v>
      </c>
    </row>
    <row r="16" spans="2:25" ht="18.5" x14ac:dyDescent="0.45">
      <c r="V16" s="21">
        <f>SUM(V11:V15)</f>
        <v>10904.239999999998</v>
      </c>
    </row>
    <row r="21" spans="20:22" ht="18.5" x14ac:dyDescent="0.45">
      <c r="T21" s="17" t="s">
        <v>113</v>
      </c>
      <c r="U21" s="17" t="s">
        <v>112</v>
      </c>
      <c r="V21" s="17" t="s">
        <v>114</v>
      </c>
    </row>
    <row r="22" spans="20:22" ht="15.5" x14ac:dyDescent="0.35">
      <c r="T22" s="18" t="str">
        <f>'Data Prep'!AC13</f>
        <v>Action Figure</v>
      </c>
      <c r="U22" s="19">
        <f>'Data Prep'!AD13</f>
        <v>1630.98</v>
      </c>
      <c r="V22" s="19">
        <f>'Data Prep'!AE13</f>
        <v>-1886.8200000000002</v>
      </c>
    </row>
    <row r="23" spans="20:22" ht="15.5" x14ac:dyDescent="0.35">
      <c r="T23" s="18" t="str">
        <f>'Data Prep'!AC14</f>
        <v>Lego Bricks</v>
      </c>
      <c r="U23" s="19">
        <f>'Data Prep'!AD14</f>
        <v>8517.8700000000008</v>
      </c>
      <c r="V23" s="19">
        <f>'Data Prep'!AE14</f>
        <v>-1639.5900000000001</v>
      </c>
    </row>
    <row r="24" spans="20:22" ht="15.5" x14ac:dyDescent="0.35">
      <c r="T24" s="18" t="str">
        <f>'Data Prep'!AC15</f>
        <v>Gamer Headset</v>
      </c>
      <c r="U24" s="19">
        <f>'Data Prep'!AD15</f>
        <v>776.62999999999988</v>
      </c>
      <c r="V24" s="19">
        <f>'Data Prep'!AE15</f>
        <v>-944.55</v>
      </c>
    </row>
    <row r="25" spans="20:22" ht="15.5" x14ac:dyDescent="0.35">
      <c r="T25" s="18" t="str">
        <f>'Data Prep'!AC16</f>
        <v>Magic Sand</v>
      </c>
      <c r="U25" s="19">
        <f>'Data Prep'!AD16</f>
        <v>4924.92</v>
      </c>
      <c r="V25" s="19">
        <f>'Data Prep'!AE16</f>
        <v>-591.6299999999992</v>
      </c>
    </row>
    <row r="26" spans="20:22" ht="15.5" x14ac:dyDescent="0.35">
      <c r="T26" s="18" t="str">
        <f>'Data Prep'!AC17</f>
        <v>Mini Ping Pong</v>
      </c>
      <c r="U26" s="19">
        <f>'Data Prep'!AD17</f>
        <v>369.63</v>
      </c>
      <c r="V26" s="24">
        <f>'Data Prep'!AE17</f>
        <v>-329.66999999999996</v>
      </c>
    </row>
    <row r="27" spans="20:22" ht="18.5" x14ac:dyDescent="0.45">
      <c r="V27" s="22">
        <f>SUM(V22:V26)</f>
        <v>-5392.2599999999993</v>
      </c>
    </row>
  </sheetData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FE8C39-B1EB-46E9-A291-15D3E6A3DA90}">
          <x14:formula1>
            <xm:f>'Data Prep'!$B$6:$B$8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31" workbookViewId="0">
      <selection activeCell="J261" sqref="J261"/>
    </sheetView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31" workbookViewId="0"/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PMonth</vt:lpstr>
      <vt:lpstr>PMYEAR</vt:lpstr>
      <vt:lpstr>PYear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User</cp:lastModifiedBy>
  <dcterms:created xsi:type="dcterms:W3CDTF">2021-07-16T18:17:37Z</dcterms:created>
  <dcterms:modified xsi:type="dcterms:W3CDTF">2024-10-02T16:19:23Z</dcterms:modified>
</cp:coreProperties>
</file>