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Sifat\Projects\Excel Projects\Maven Toys Monthly Sales Analysis\"/>
    </mc:Choice>
  </mc:AlternateContent>
  <xr:revisionPtr revIDLastSave="0" documentId="13_ncr:1_{D9326B81-2379-4989-8508-3723D3704AAF}" xr6:coauthVersionLast="47" xr6:coauthVersionMax="47" xr10:uidLastSave="{00000000-0000-0000-0000-000000000000}"/>
  <bookViews>
    <workbookView xWindow="-110" yWindow="-110" windowWidth="19420" windowHeight="1150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Prep'!$C$12</definedName>
    <definedName name="CurYear">'Data Prep'!$C$11</definedName>
    <definedName name="PMonth">'Data Prep'!$C$14</definedName>
    <definedName name="PMYEAR">'Data Prep'!$C$15</definedName>
    <definedName name="PYear">'Data Prep'!$C$13</definedName>
    <definedName name="Region">'Data Prep'!$C$6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C16" i="22"/>
  <c r="C6" i="22"/>
  <c r="O5" i="22"/>
  <c r="O6" i="22"/>
  <c r="O7" i="22"/>
  <c r="O8" i="22"/>
  <c r="O9" i="22"/>
  <c r="O10" i="22"/>
  <c r="O11" i="22"/>
  <c r="O12" i="22"/>
  <c r="O13" i="22"/>
  <c r="O4" i="22"/>
  <c r="C11" i="22"/>
  <c r="C12" i="22" s="1"/>
  <c r="C1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U12" i="22" l="1"/>
  <c r="U6" i="22"/>
  <c r="T12" i="22"/>
  <c r="T11" i="22"/>
  <c r="S13" i="22"/>
  <c r="S12" i="22"/>
  <c r="S11" i="22"/>
  <c r="T7" i="22"/>
  <c r="T13" i="22"/>
  <c r="T10" i="22"/>
  <c r="T9" i="22"/>
  <c r="S10" i="22"/>
  <c r="U11" i="22"/>
  <c r="S9" i="22"/>
  <c r="U10" i="22"/>
  <c r="S7" i="22"/>
  <c r="U9" i="22"/>
  <c r="S6" i="22"/>
  <c r="U7" i="22"/>
  <c r="T6" i="22"/>
  <c r="U13" i="22"/>
  <c r="W4" i="22"/>
  <c r="K4" i="22"/>
  <c r="K7" i="22"/>
  <c r="K6" i="22"/>
  <c r="K5" i="22"/>
  <c r="W26" i="22"/>
  <c r="W25" i="22"/>
  <c r="W15" i="22"/>
  <c r="W13" i="22"/>
  <c r="W24" i="22"/>
  <c r="W23" i="22"/>
  <c r="W40" i="22"/>
  <c r="K14" i="22"/>
  <c r="W39" i="22"/>
  <c r="W38" i="22"/>
  <c r="W37" i="22"/>
  <c r="K11" i="22"/>
  <c r="W36" i="22"/>
  <c r="K10" i="22"/>
  <c r="W29" i="22"/>
  <c r="W11" i="22"/>
  <c r="W41" i="22"/>
  <c r="K15" i="22"/>
  <c r="W17" i="22"/>
  <c r="W16" i="22"/>
  <c r="K13" i="22"/>
  <c r="K12" i="22"/>
  <c r="W14" i="22"/>
  <c r="W12" i="22"/>
  <c r="K9" i="22"/>
  <c r="W28" i="22"/>
  <c r="W5" i="22"/>
  <c r="K8" i="22"/>
  <c r="W27" i="22"/>
  <c r="W35" i="22"/>
  <c r="W33" i="22"/>
  <c r="W21" i="22"/>
  <c r="W9" i="22"/>
  <c r="W44" i="22"/>
  <c r="W32" i="22"/>
  <c r="W20" i="22"/>
  <c r="W8" i="22"/>
  <c r="W43" i="22"/>
  <c r="W31" i="22"/>
  <c r="W19" i="22"/>
  <c r="W7" i="22"/>
  <c r="W34" i="22"/>
  <c r="W22" i="22"/>
  <c r="W10" i="22"/>
  <c r="W42" i="22"/>
  <c r="W30" i="22"/>
  <c r="W18" i="22"/>
  <c r="W6" i="22"/>
  <c r="P5" i="22"/>
  <c r="S5" i="22" s="1"/>
  <c r="F7" i="22"/>
  <c r="C15" i="22"/>
  <c r="Q8" i="22" s="1"/>
  <c r="T8" i="22" s="1"/>
  <c r="P6" i="22"/>
  <c r="P4" i="22"/>
  <c r="S4" i="22" s="1"/>
  <c r="P13" i="22"/>
  <c r="P12" i="22"/>
  <c r="P11" i="22"/>
  <c r="P10" i="22"/>
  <c r="P9" i="22"/>
  <c r="P8" i="22"/>
  <c r="S8" i="22" s="1"/>
  <c r="P7" i="22"/>
  <c r="L15" i="22"/>
  <c r="L14" i="22"/>
  <c r="L4" i="22"/>
  <c r="L13" i="22"/>
  <c r="L12" i="22"/>
  <c r="L11" i="22"/>
  <c r="L10" i="22"/>
  <c r="L9" i="22"/>
  <c r="L8" i="22"/>
  <c r="L7" i="22"/>
  <c r="L6" i="22"/>
  <c r="L5" i="22"/>
  <c r="F5" i="22"/>
  <c r="C13" i="22"/>
  <c r="F6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Q6" i="22" l="1"/>
  <c r="R6" i="22" s="1"/>
  <c r="Q4" i="22"/>
  <c r="T4" i="22" s="1"/>
  <c r="F8" i="22"/>
  <c r="Q7" i="22"/>
  <c r="R7" i="22" s="1"/>
  <c r="X12" i="22"/>
  <c r="Y12" i="22" s="1"/>
  <c r="X24" i="22"/>
  <c r="Y24" i="22" s="1"/>
  <c r="X36" i="22"/>
  <c r="Y36" i="22" s="1"/>
  <c r="X16" i="22"/>
  <c r="Y16" i="22" s="1"/>
  <c r="X28" i="22"/>
  <c r="Y28" i="22" s="1"/>
  <c r="X40" i="22"/>
  <c r="Y40" i="22" s="1"/>
  <c r="X13" i="22"/>
  <c r="Y13" i="22" s="1"/>
  <c r="X25" i="22"/>
  <c r="Y25" i="22" s="1"/>
  <c r="X37" i="22"/>
  <c r="Y37" i="22" s="1"/>
  <c r="X17" i="22"/>
  <c r="Y17" i="22" s="1"/>
  <c r="X41" i="22"/>
  <c r="Y41" i="22" s="1"/>
  <c r="X6" i="22"/>
  <c r="Y6" i="22" s="1"/>
  <c r="X18" i="22"/>
  <c r="Y18" i="22" s="1"/>
  <c r="X30" i="22"/>
  <c r="Y30" i="22" s="1"/>
  <c r="X42" i="22"/>
  <c r="Y42" i="22" s="1"/>
  <c r="X8" i="22"/>
  <c r="Y8" i="22" s="1"/>
  <c r="X20" i="22"/>
  <c r="Y20" i="22" s="1"/>
  <c r="X32" i="22"/>
  <c r="Y32" i="22" s="1"/>
  <c r="X44" i="22"/>
  <c r="Y44" i="22" s="1"/>
  <c r="X9" i="22"/>
  <c r="Y9" i="22" s="1"/>
  <c r="X21" i="22"/>
  <c r="Y21" i="22" s="1"/>
  <c r="X33" i="22"/>
  <c r="Y33" i="22" s="1"/>
  <c r="X4" i="22"/>
  <c r="Y4" i="22" s="1"/>
  <c r="X23" i="22"/>
  <c r="Y23" i="22" s="1"/>
  <c r="X35" i="22"/>
  <c r="Y35" i="22" s="1"/>
  <c r="X14" i="22"/>
  <c r="Y14" i="22" s="1"/>
  <c r="X26" i="22"/>
  <c r="Y26" i="22" s="1"/>
  <c r="X38" i="22"/>
  <c r="Y38" i="22" s="1"/>
  <c r="X15" i="22"/>
  <c r="Y15" i="22" s="1"/>
  <c r="X27" i="22"/>
  <c r="Y27" i="22" s="1"/>
  <c r="X39" i="22"/>
  <c r="Y39" i="22" s="1"/>
  <c r="X5" i="22"/>
  <c r="Y5" i="22" s="1"/>
  <c r="X29" i="22"/>
  <c r="Y29" i="22" s="1"/>
  <c r="X7" i="22"/>
  <c r="Y7" i="22" s="1"/>
  <c r="X19" i="22"/>
  <c r="Y19" i="22" s="1"/>
  <c r="X31" i="22"/>
  <c r="Y31" i="22" s="1"/>
  <c r="X43" i="22"/>
  <c r="Y43" i="22" s="1"/>
  <c r="X10" i="22"/>
  <c r="Y10" i="22" s="1"/>
  <c r="X22" i="22"/>
  <c r="Y22" i="22" s="1"/>
  <c r="X34" i="22"/>
  <c r="Y34" i="22" s="1"/>
  <c r="X11" i="22"/>
  <c r="Y11" i="22" s="1"/>
  <c r="Q9" i="22"/>
  <c r="R9" i="22" s="1"/>
  <c r="R8" i="22"/>
  <c r="U8" i="22" s="1"/>
  <c r="Q10" i="22"/>
  <c r="R10" i="22" s="1"/>
  <c r="Q5" i="22"/>
  <c r="T5" i="22" s="1"/>
  <c r="Q11" i="22"/>
  <c r="R11" i="22" s="1"/>
  <c r="Q13" i="22"/>
  <c r="R13" i="22" s="1"/>
  <c r="Q12" i="22"/>
  <c r="R12" i="22" s="1"/>
  <c r="F9" i="22"/>
  <c r="R5" i="22" l="1"/>
  <c r="U5" i="22" s="1"/>
  <c r="R4" i="22"/>
  <c r="U4" i="22" s="1"/>
  <c r="AA31" i="22"/>
  <c r="Z31" i="22"/>
  <c r="AA19" i="22"/>
  <c r="Z19" i="22"/>
  <c r="Z4" i="22"/>
  <c r="AA4" i="22"/>
  <c r="Z41" i="22"/>
  <c r="AA41" i="22"/>
  <c r="AA23" i="22"/>
  <c r="Z23" i="22"/>
  <c r="Z30" i="22"/>
  <c r="AA30" i="22"/>
  <c r="AA7" i="22"/>
  <c r="Z7" i="22"/>
  <c r="AA33" i="22"/>
  <c r="Z33" i="22"/>
  <c r="Z17" i="22"/>
  <c r="AA17" i="22"/>
  <c r="AA21" i="22"/>
  <c r="Z21" i="22"/>
  <c r="Z5" i="22"/>
  <c r="AA5" i="22"/>
  <c r="AA9" i="22"/>
  <c r="Z9" i="22"/>
  <c r="Z25" i="22"/>
  <c r="AA25" i="22"/>
  <c r="Z6" i="22"/>
  <c r="AA6" i="22"/>
  <c r="Z37" i="22"/>
  <c r="AA37" i="22"/>
  <c r="Z18" i="22"/>
  <c r="AA18" i="22"/>
  <c r="Z8" i="22"/>
  <c r="AA8" i="22"/>
  <c r="Z39" i="22"/>
  <c r="AA39" i="22"/>
  <c r="Z44" i="22"/>
  <c r="AA44" i="22"/>
  <c r="Z13" i="22"/>
  <c r="AA13" i="22"/>
  <c r="Z32" i="22"/>
  <c r="AA32" i="22"/>
  <c r="AA11" i="22"/>
  <c r="Z11" i="22"/>
  <c r="Z15" i="22"/>
  <c r="AA15" i="22"/>
  <c r="Z20" i="22"/>
  <c r="AA20" i="22"/>
  <c r="AA28" i="22"/>
  <c r="Z28" i="22"/>
  <c r="Z29" i="22"/>
  <c r="AA29" i="22"/>
  <c r="Z34" i="22"/>
  <c r="AA34" i="22"/>
  <c r="AA38" i="22"/>
  <c r="Z38" i="22"/>
  <c r="AA16" i="22"/>
  <c r="Z16" i="22"/>
  <c r="Z22" i="22"/>
  <c r="AA22" i="22"/>
  <c r="AA26" i="22"/>
  <c r="Z26" i="22"/>
  <c r="Z42" i="22"/>
  <c r="AA42" i="22"/>
  <c r="AA36" i="22"/>
  <c r="Z36" i="22"/>
  <c r="AA40" i="22"/>
  <c r="Z40" i="22"/>
  <c r="Z10" i="22"/>
  <c r="AA10" i="22"/>
  <c r="AA14" i="22"/>
  <c r="Z14" i="22"/>
  <c r="AA24" i="22"/>
  <c r="Z24" i="22"/>
  <c r="Z27" i="22"/>
  <c r="AA27" i="22"/>
  <c r="AA43" i="22"/>
  <c r="Z43" i="22"/>
  <c r="AA35" i="22"/>
  <c r="Z35" i="22"/>
  <c r="AA12" i="22"/>
  <c r="Z12" i="22"/>
  <c r="AD6" i="22" l="1"/>
  <c r="T13" i="23" s="1"/>
  <c r="AD7" i="22"/>
  <c r="T14" i="23" s="1"/>
  <c r="AF5" i="22"/>
  <c r="V12" i="23" s="1"/>
  <c r="AE4" i="22"/>
  <c r="U11" i="23" s="1"/>
  <c r="AF7" i="22"/>
  <c r="V14" i="23" s="1"/>
  <c r="AD4" i="22"/>
  <c r="T11" i="23" s="1"/>
  <c r="AF8" i="22"/>
  <c r="V15" i="23" s="1"/>
  <c r="AE6" i="22"/>
  <c r="U13" i="23" s="1"/>
  <c r="AE7" i="22"/>
  <c r="U14" i="23" s="1"/>
  <c r="AE8" i="22"/>
  <c r="U15" i="23" s="1"/>
  <c r="AD5" i="22"/>
  <c r="T12" i="23" s="1"/>
  <c r="AD8" i="22"/>
  <c r="T15" i="23" s="1"/>
  <c r="AF6" i="22"/>
  <c r="V13" i="23" s="1"/>
  <c r="AF4" i="22"/>
  <c r="V11" i="23" s="1"/>
  <c r="AE5" i="22"/>
  <c r="U12" i="23" s="1"/>
  <c r="AF13" i="22"/>
  <c r="V22" i="23" s="1"/>
  <c r="AD16" i="22"/>
  <c r="T25" i="23" s="1"/>
  <c r="AF14" i="22"/>
  <c r="V23" i="23" s="1"/>
  <c r="AD17" i="22"/>
  <c r="T26" i="23" s="1"/>
  <c r="AF16" i="22"/>
  <c r="V25" i="23" s="1"/>
  <c r="AE14" i="22"/>
  <c r="U23" i="23" s="1"/>
  <c r="AE15" i="22"/>
  <c r="U24" i="23" s="1"/>
  <c r="AE17" i="22"/>
  <c r="U26" i="23" s="1"/>
  <c r="AE13" i="22"/>
  <c r="U22" i="23" s="1"/>
  <c r="AD14" i="22"/>
  <c r="T23" i="23" s="1"/>
  <c r="AD15" i="22"/>
  <c r="T24" i="23" s="1"/>
  <c r="AF15" i="22"/>
  <c r="V24" i="23" s="1"/>
  <c r="AD13" i="22"/>
  <c r="T22" i="23" s="1"/>
  <c r="AF17" i="22"/>
  <c r="V26" i="23" s="1"/>
  <c r="AE16" i="22"/>
  <c r="U25" i="23" s="1"/>
  <c r="V27" i="23" l="1"/>
  <c r="V16" i="23"/>
</calcChain>
</file>

<file path=xl/sharedStrings.xml><?xml version="1.0" encoding="utf-8"?>
<sst xmlns="http://schemas.openxmlformats.org/spreadsheetml/2006/main" count="26864" uniqueCount="131">
  <si>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</si>
  <si>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</si>
  <si>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</si>
  <si>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</si>
  <si>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</si>
  <si>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</si>
  <si>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</si>
  <si>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</si>
  <si>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</si>
  <si>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</si>
  <si>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</si>
  <si>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</si>
  <si>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</si>
  <si>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</si>
  <si>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</si>
  <si>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</si>
  <si>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</si>
  <si>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</si>
  <si>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</si>
  <si>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</si>
  <si>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</si>
  <si>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</si>
  <si>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</si>
  <si>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</si>
  <si>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</si>
  <si>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</si>
  <si>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</si>
  <si>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</si>
  <si>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</si>
  <si>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</si>
  <si>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</si>
  <si>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</si>
  <si>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</si>
  <si>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</si>
  <si>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</si>
  <si>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</si>
  <si>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</si>
  <si>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</si>
  <si>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</si>
  <si>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</si>
  <si>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</si>
  <si>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</si>
  <si>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</si>
  <si>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</si>
  <si>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</si>
  <si>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</si>
  <si>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</si>
  <si>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</si>
  <si>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</si>
  <si>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</si>
  <si>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</si>
  <si>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</si>
  <si>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</si>
  <si>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</si>
  <si>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</si>
  <si>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</si>
  <si>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</si>
  <si>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</si>
  <si>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</si>
  <si>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</si>
  <si>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</si>
  <si>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</si>
  <si>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</si>
  <si>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</si>
  <si>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</si>
  <si>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</si>
  <si>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</si>
  <si>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</si>
  <si>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</si>
  <si>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</si>
  <si>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</si>
  <si>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</si>
  <si>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</si>
  <si>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</si>
  <si>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</si>
  <si>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</si>
  <si>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</si>
  <si>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</si>
  <si>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</si>
  <si>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</si>
  <si>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</si>
  <si>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</si>
  <si>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</t>
  </si>
  <si>
    <t xml:space="preserve">Total Revenue </t>
  </si>
  <si>
    <t>PY Revenue</t>
  </si>
  <si>
    <t>PM Revenue</t>
  </si>
  <si>
    <t>YoY%</t>
  </si>
  <si>
    <t>MoM%</t>
  </si>
  <si>
    <t>Revenue Trend</t>
  </si>
  <si>
    <t xml:space="preserve">Month 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</si>
  <si>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</si>
  <si>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</si>
  <si>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</si>
  <si>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</si>
  <si>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</si>
  <si>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</si>
  <si>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</si>
  <si>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</si>
  <si>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</si>
  <si>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</si>
  <si>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</si>
  <si>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</si>
  <si>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</si>
  <si>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</si>
  <si>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PMYEAR</t>
  </si>
  <si>
    <t>Product Permorfance</t>
  </si>
  <si>
    <t>Rank(+)</t>
  </si>
  <si>
    <t>Rank(-)</t>
  </si>
  <si>
    <t>MoM</t>
  </si>
  <si>
    <t>Top Performance Products</t>
  </si>
  <si>
    <t>Rank</t>
  </si>
  <si>
    <t>Bottom Performance Products</t>
  </si>
  <si>
    <t xml:space="preserve">Revenue </t>
  </si>
  <si>
    <t>Product</t>
  </si>
  <si>
    <t>MoM ∆</t>
  </si>
  <si>
    <t>Selection MoM%</t>
  </si>
  <si>
    <t>Select Region:</t>
  </si>
  <si>
    <t xml:space="preserve">January 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</si>
  <si>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</si>
  <si>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</si>
  <si>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</si>
  <si>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</si>
  <si>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</si>
  <si>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</si>
  <si>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</si>
  <si>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</si>
  <si>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</si>
  <si>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</si>
  <si>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 Number</t>
  </si>
  <si>
    <t>Current Month,Year: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</si>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</sst>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[$$-409]#,##0_);\([$$-409]#,##0\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0" fillId="7" borderId="1" xfId="0" applyFill="1" applyBorder="1"/>
    <xf numFmtId="0" fontId="0" fillId="0" borderId="1" xfId="0" applyBorder="1"/>
    <xf numFmtId="0" fontId="1" fillId="0" borderId="0" xfId="0" applyFont="1"/>
    <xf numFmtId="9" fontId="0" fillId="0" borderId="0" xfId="2" applyFont="1"/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65" fontId="5" fillId="8" borderId="0" xfId="2" applyNumberFormat="1" applyFont="1" applyFill="1" applyAlignment="1">
      <alignment horizontal="left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2" xfId="1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7" borderId="0" xfId="0" applyFill="1"/>
    <xf numFmtId="166" fontId="9" fillId="0" borderId="0" xfId="1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8" fillId="9" borderId="0" xfId="0" applyFont="1" applyFill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C00000"/>
      </font>
    </dxf>
    <dxf>
      <font>
        <color theme="9" tint="-0.2499465926084170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98386"/>
      <color rgb="FFF9777A"/>
      <color rgb="FF8497B0"/>
      <color rgb="FFFF6565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9124119697931"/>
          <c:y val="6.8051158301158307E-2"/>
          <c:w val="0.84556735207915656"/>
          <c:h val="0.8090453667953667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Prep'!$K$3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Prep'!$K$4:$K$15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D-42F4-862B-13A18BE9ECA2}"/>
            </c:ext>
          </c:extLst>
        </c:ser>
        <c:ser>
          <c:idx val="1"/>
          <c:order val="1"/>
          <c:tx>
            <c:strRef>
              <c:f>'Data Prep'!$L$3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Prep'!$L$4:$L$15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7D-42F4-862B-13A18BE9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5183"/>
        <c:axId val="31352687"/>
      </c:lineChart>
      <c:catAx>
        <c:axId val="313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87"/>
        <c:crosses val="autoZero"/>
        <c:auto val="1"/>
        <c:lblAlgn val="ctr"/>
        <c:lblOffset val="100"/>
        <c:noMultiLvlLbl val="0"/>
      </c:catAx>
      <c:valAx>
        <c:axId val="3135268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1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82170323691875"/>
          <c:y val="0.72872200772200768"/>
          <c:w val="0.34994901061197886"/>
          <c:h val="0.1046189444086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1404199475065"/>
          <c:y val="5.1755371061826885E-2"/>
          <c:w val="0.74880123739836291"/>
          <c:h val="0.885947021085545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Prep'!$P$3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Prep'!$P$4:$P$13</c:f>
              <c:numCache>
                <c:formatCode>"$"#,##0</c:formatCode>
                <c:ptCount val="10"/>
                <c:pt idx="0">
                  <c:v>15765.830000000002</c:v>
                </c:pt>
                <c:pt idx="1">
                  <c:v>10103.540000000001</c:v>
                </c:pt>
                <c:pt idx="2">
                  <c:v>20484.010000000002</c:v>
                </c:pt>
                <c:pt idx="3">
                  <c:v>18238.46</c:v>
                </c:pt>
                <c:pt idx="4">
                  <c:v>18171.759999999995</c:v>
                </c:pt>
                <c:pt idx="5">
                  <c:v>18237.980000000003</c:v>
                </c:pt>
                <c:pt idx="6">
                  <c:v>13879.13</c:v>
                </c:pt>
                <c:pt idx="7">
                  <c:v>17505.330000000002</c:v>
                </c:pt>
                <c:pt idx="8">
                  <c:v>7721.8800000000019</c:v>
                </c:pt>
                <c:pt idx="9">
                  <c:v>16255.230000000001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C23-BB4C-507E49E89576}"/>
            </c:ext>
          </c:extLst>
        </c:ser>
        <c:ser>
          <c:idx val="1"/>
          <c:order val="1"/>
          <c:tx>
            <c:strRef>
              <c:f>'Data Prep'!$S$3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Prep'!$S$4:$S$13</c:f>
              <c:numCache>
                <c:formatCode>"$"#,##0</c:formatCode>
                <c:ptCount val="10"/>
                <c:pt idx="0">
                  <c:v>15765.830000000002</c:v>
                </c:pt>
                <c:pt idx="1">
                  <c:v>10103.540000000001</c:v>
                </c:pt>
                <c:pt idx="2">
                  <c:v>0</c:v>
                </c:pt>
                <c:pt idx="3">
                  <c:v>0</c:v>
                </c:pt>
                <c:pt idx="4">
                  <c:v>18171.759999999995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2-4A80-9578-7166BD29C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24209375"/>
        <c:axId val="2024226431"/>
      </c:barChart>
      <c:catAx>
        <c:axId val="202420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6431"/>
        <c:crosses val="autoZero"/>
        <c:auto val="1"/>
        <c:lblAlgn val="ctr"/>
        <c:lblOffset val="100"/>
        <c:noMultiLvlLbl val="0"/>
      </c:catAx>
      <c:valAx>
        <c:axId val="202422643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242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3.5368126113333606E-2"/>
          <c:w val="0.91939363316326361"/>
          <c:h val="0.90182706050551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Prep'!$R$3</c:f>
              <c:strCache>
                <c:ptCount val="1"/>
                <c:pt idx="0">
                  <c:v>MoM%</c:v>
                </c:pt>
              </c:strCache>
            </c:strRef>
          </c:tx>
          <c:spPr>
            <a:solidFill>
              <a:srgbClr val="8497B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Prep'!$R$4:$R$13</c:f>
              <c:numCache>
                <c:formatCode>0%</c:formatCode>
                <c:ptCount val="10"/>
                <c:pt idx="0">
                  <c:v>0.38157142957292312</c:v>
                </c:pt>
                <c:pt idx="1">
                  <c:v>0.27268490293194403</c:v>
                </c:pt>
                <c:pt idx="2">
                  <c:v>0.14465033810308014</c:v>
                </c:pt>
                <c:pt idx="3">
                  <c:v>0.18953874088693379</c:v>
                </c:pt>
                <c:pt idx="4">
                  <c:v>-0.17099256839675403</c:v>
                </c:pt>
                <c:pt idx="5">
                  <c:v>-0.3315731431233282</c:v>
                </c:pt>
                <c:pt idx="6">
                  <c:v>5.7257752439920262E-2</c:v>
                </c:pt>
                <c:pt idx="7">
                  <c:v>2.6734476982343214E-2</c:v>
                </c:pt>
                <c:pt idx="8">
                  <c:v>-0.23788412342481746</c:v>
                </c:pt>
                <c:pt idx="9">
                  <c:v>-0.13607835613264074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F9C-9D09-83C0A2C8E05C}"/>
            </c:ext>
          </c:extLst>
        </c:ser>
        <c:ser>
          <c:idx val="1"/>
          <c:order val="1"/>
          <c:tx>
            <c:strRef>
              <c:f>'Data Prep'!$U$3</c:f>
              <c:strCache>
                <c:ptCount val="1"/>
                <c:pt idx="0">
                  <c:v>Selection MoM%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Prep'!$U$4:$U$13</c:f>
              <c:numCache>
                <c:formatCode>0%</c:formatCode>
                <c:ptCount val="10"/>
                <c:pt idx="0">
                  <c:v>0.38157142957292312</c:v>
                </c:pt>
                <c:pt idx="1">
                  <c:v>0.27268490293194403</c:v>
                </c:pt>
                <c:pt idx="2">
                  <c:v>0</c:v>
                </c:pt>
                <c:pt idx="3">
                  <c:v>0</c:v>
                </c:pt>
                <c:pt idx="4">
                  <c:v>-0.17099256839675403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07E-420E-91B3-23CF132104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3202239"/>
        <c:axId val="23200575"/>
      </c:barChart>
      <c:catAx>
        <c:axId val="2320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00575"/>
        <c:crosses val="autoZero"/>
        <c:auto val="1"/>
        <c:lblAlgn val="ctr"/>
        <c:lblOffset val="100"/>
        <c:noMultiLvlLbl val="0"/>
      </c:catAx>
      <c:valAx>
        <c:axId val="23200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13</xdr:row>
      <xdr:rowOff>80736</xdr:rowOff>
    </xdr:from>
    <xdr:to>
      <xdr:col>6</xdr:col>
      <xdr:colOff>78015</xdr:colOff>
      <xdr:row>16</xdr:row>
      <xdr:rowOff>128814</xdr:rowOff>
    </xdr:to>
    <xdr:sp macro="" textlink="$F$5">
      <xdr:nvSpPr>
        <xdr:cNvPr id="2" name="TextBox 1">
          <a:extLst>
            <a:ext uri="{FF2B5EF4-FFF2-40B4-BE49-F238E27FC236}">
              <a16:creationId xmlns:a16="http://schemas.microsoft.com/office/drawing/2014/main" id="{98566363-A86A-4240-AA7C-CA219ABCCBFF}"/>
            </a:ext>
          </a:extLst>
        </xdr:cNvPr>
        <xdr:cNvSpPr txBox="1"/>
      </xdr:nvSpPr>
      <xdr:spPr>
        <a:xfrm>
          <a:off x="3148693" y="2439307"/>
          <a:ext cx="1628322" cy="592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8E0C2-E65D-4B9D-98A2-71367390CB0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$44,041</a:t>
          </a:fld>
          <a:endParaRPr lang="en-US" sz="3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555745</xdr:colOff>
      <xdr:row>1</xdr:row>
      <xdr:rowOff>0</xdr:rowOff>
    </xdr:from>
    <xdr:to>
      <xdr:col>4</xdr:col>
      <xdr:colOff>1451429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C59179-6991-48E9-82F8-850A80D9ADC7}"/>
            </a:ext>
          </a:extLst>
        </xdr:cNvPr>
        <xdr:cNvSpPr txBox="1"/>
      </xdr:nvSpPr>
      <xdr:spPr>
        <a:xfrm>
          <a:off x="555745" y="181429"/>
          <a:ext cx="5095755" cy="48350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 for </a:t>
          </a:r>
        </a:p>
      </xdr:txBody>
    </xdr:sp>
    <xdr:clientData/>
  </xdr:twoCellAnchor>
  <xdr:twoCellAnchor editAs="absolute">
    <xdr:from>
      <xdr:col>1</xdr:col>
      <xdr:colOff>476245</xdr:colOff>
      <xdr:row>7</xdr:row>
      <xdr:rowOff>70482</xdr:rowOff>
    </xdr:from>
    <xdr:to>
      <xdr:col>2</xdr:col>
      <xdr:colOff>1410530</xdr:colOff>
      <xdr:row>10</xdr:row>
      <xdr:rowOff>45247</xdr:rowOff>
    </xdr:to>
    <xdr:sp macro="" textlink="'Data Prep'!$F$5">
      <xdr:nvSpPr>
        <xdr:cNvPr id="5" name="TextBox 4">
          <a:extLst>
            <a:ext uri="{FF2B5EF4-FFF2-40B4-BE49-F238E27FC236}">
              <a16:creationId xmlns:a16="http://schemas.microsoft.com/office/drawing/2014/main" id="{5E488B5E-D58B-40C0-9207-0C84C86D3767}"/>
            </a:ext>
          </a:extLst>
        </xdr:cNvPr>
        <xdr:cNvSpPr txBox="1"/>
      </xdr:nvSpPr>
      <xdr:spPr>
        <a:xfrm>
          <a:off x="1084031" y="1515507"/>
          <a:ext cx="2451347" cy="600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982134-1ABB-4092-9F0E-5779E52D014F}" type="TxLink">
            <a:rPr lang="en-US" sz="36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Calibri"/>
              <a:cs typeface="Calibri"/>
            </a:rPr>
            <a:pPr algn="ctr"/>
            <a:t>$44,041</a:t>
          </a:fld>
          <a:endParaRPr lang="en-US" sz="8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659404</xdr:colOff>
          <xdr:row>10</xdr:row>
          <xdr:rowOff>98111</xdr:rowOff>
        </xdr:from>
        <xdr:to>
          <xdr:col>2</xdr:col>
          <xdr:colOff>1139232</xdr:colOff>
          <xdr:row>13</xdr:row>
          <xdr:rowOff>5167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56ED7FD-5B27-4C81-A726-4C36110DEA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8" spid="_x0000_s52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67190" y="2175468"/>
              <a:ext cx="1994756" cy="5057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386875</xdr:colOff>
          <xdr:row>10</xdr:row>
          <xdr:rowOff>79461</xdr:rowOff>
        </xdr:from>
        <xdr:to>
          <xdr:col>4</xdr:col>
          <xdr:colOff>252712</xdr:colOff>
          <xdr:row>13</xdr:row>
          <xdr:rowOff>9531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8A250ACF-3178-47E8-B26C-9FA5C6AB8A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F$9" spid="_x0000_s52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09589" y="2156818"/>
              <a:ext cx="1943194" cy="5287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920900</xdr:colOff>
      <xdr:row>5</xdr:row>
      <xdr:rowOff>102369</xdr:rowOff>
    </xdr:from>
    <xdr:to>
      <xdr:col>2</xdr:col>
      <xdr:colOff>1204210</xdr:colOff>
      <xdr:row>7</xdr:row>
      <xdr:rowOff>129170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DE18CA7-C3D4-4F8C-B717-523F3AD4F361}"/>
            </a:ext>
          </a:extLst>
        </xdr:cNvPr>
        <xdr:cNvSpPr txBox="1"/>
      </xdr:nvSpPr>
      <xdr:spPr>
        <a:xfrm>
          <a:off x="1532689" y="1213619"/>
          <a:ext cx="1804107" cy="40033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Total Reveneu</a:t>
          </a:r>
        </a:p>
      </xdr:txBody>
    </xdr:sp>
    <xdr:clientData/>
  </xdr:twoCellAnchor>
  <xdr:twoCellAnchor editAs="absolute">
    <xdr:from>
      <xdr:col>1</xdr:col>
      <xdr:colOff>559873</xdr:colOff>
      <xdr:row>13</xdr:row>
      <xdr:rowOff>32550</xdr:rowOff>
    </xdr:from>
    <xdr:to>
      <xdr:col>1</xdr:col>
      <xdr:colOff>1475839</xdr:colOff>
      <xdr:row>14</xdr:row>
      <xdr:rowOff>63966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342DE-C47C-4D19-AC03-1F66BC2DF565}"/>
            </a:ext>
          </a:extLst>
        </xdr:cNvPr>
        <xdr:cNvSpPr txBox="1"/>
      </xdr:nvSpPr>
      <xdr:spPr>
        <a:xfrm>
          <a:off x="1167659" y="2708621"/>
          <a:ext cx="915966" cy="23098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Vs Last Year</a:t>
          </a:r>
        </a:p>
      </xdr:txBody>
    </xdr:sp>
    <xdr:clientData/>
  </xdr:twoCellAnchor>
  <xdr:twoCellAnchor editAs="absolute">
    <xdr:from>
      <xdr:col>2</xdr:col>
      <xdr:colOff>260432</xdr:colOff>
      <xdr:row>13</xdr:row>
      <xdr:rowOff>32219</xdr:rowOff>
    </xdr:from>
    <xdr:to>
      <xdr:col>2</xdr:col>
      <xdr:colOff>1433288</xdr:colOff>
      <xdr:row>14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F26D9F-689A-4970-848A-D1B3C7EF9DB3}"/>
            </a:ext>
          </a:extLst>
        </xdr:cNvPr>
        <xdr:cNvSpPr txBox="1"/>
      </xdr:nvSpPr>
      <xdr:spPr>
        <a:xfrm>
          <a:off x="2383146" y="2708290"/>
          <a:ext cx="1172856" cy="29435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Vs Last Month</a:t>
          </a:r>
        </a:p>
      </xdr:txBody>
    </xdr:sp>
    <xdr:clientData/>
  </xdr:twoCellAnchor>
  <xdr:twoCellAnchor editAs="absolute">
    <xdr:from>
      <xdr:col>4</xdr:col>
      <xdr:colOff>2053533</xdr:colOff>
      <xdr:row>5</xdr:row>
      <xdr:rowOff>147574</xdr:rowOff>
    </xdr:from>
    <xdr:to>
      <xdr:col>11</xdr:col>
      <xdr:colOff>435426</xdr:colOff>
      <xdr:row>7</xdr:row>
      <xdr:rowOff>157416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7A6B31-4036-46F9-B8B2-B1DD9370A73A}"/>
            </a:ext>
          </a:extLst>
        </xdr:cNvPr>
        <xdr:cNvSpPr txBox="1"/>
      </xdr:nvSpPr>
      <xdr:spPr>
        <a:xfrm>
          <a:off x="6253604" y="1236145"/>
          <a:ext cx="4287393" cy="372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Store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Rank Compared to Other Regions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910831</xdr:colOff>
      <xdr:row>5</xdr:row>
      <xdr:rowOff>177336</xdr:rowOff>
    </xdr:from>
    <xdr:to>
      <xdr:col>21</xdr:col>
      <xdr:colOff>564962</xdr:colOff>
      <xdr:row>7</xdr:row>
      <xdr:rowOff>121131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A2700F9-87A5-440A-9765-3357C4977319}"/>
            </a:ext>
          </a:extLst>
        </xdr:cNvPr>
        <xdr:cNvSpPr txBox="1"/>
      </xdr:nvSpPr>
      <xdr:spPr>
        <a:xfrm>
          <a:off x="12721831" y="1265907"/>
          <a:ext cx="1867560" cy="30665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Top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724118</xdr:colOff>
      <xdr:row>16</xdr:row>
      <xdr:rowOff>73615</xdr:rowOff>
    </xdr:from>
    <xdr:to>
      <xdr:col>21</xdr:col>
      <xdr:colOff>721149</xdr:colOff>
      <xdr:row>18</xdr:row>
      <xdr:rowOff>42692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978D65-EC0F-445F-9D7A-EFCB09A7B820}"/>
            </a:ext>
          </a:extLst>
        </xdr:cNvPr>
        <xdr:cNvSpPr txBox="1"/>
      </xdr:nvSpPr>
      <xdr:spPr>
        <a:xfrm>
          <a:off x="12535118" y="3384686"/>
          <a:ext cx="2210460" cy="33193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Bottom</a:t>
          </a:r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 5 Products</a:t>
          </a:r>
          <a:endParaRPr lang="en-US" sz="1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667660</xdr:colOff>
      <xdr:row>15</xdr:row>
      <xdr:rowOff>96203</xdr:rowOff>
    </xdr:from>
    <xdr:to>
      <xdr:col>2</xdr:col>
      <xdr:colOff>1120853</xdr:colOff>
      <xdr:row>17</xdr:row>
      <xdr:rowOff>51754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2279B4-C95C-4531-A957-B18549D63A8C}"/>
            </a:ext>
          </a:extLst>
        </xdr:cNvPr>
        <xdr:cNvSpPr txBox="1"/>
      </xdr:nvSpPr>
      <xdr:spPr>
        <a:xfrm>
          <a:off x="1275446" y="3165014"/>
          <a:ext cx="1971056" cy="37283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Revenue Trend</a:t>
          </a:r>
        </a:p>
        <a:p>
          <a:endParaRPr lang="en-US" sz="2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216174</xdr:colOff>
      <xdr:row>17</xdr:row>
      <xdr:rowOff>135026</xdr:rowOff>
    </xdr:from>
    <xdr:to>
      <xdr:col>4</xdr:col>
      <xdr:colOff>332708</xdr:colOff>
      <xdr:row>28</xdr:row>
      <xdr:rowOff>6403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E5475-00BA-4797-BA19-EBA2D543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713489</xdr:colOff>
      <xdr:row>7</xdr:row>
      <xdr:rowOff>70729</xdr:rowOff>
    </xdr:from>
    <xdr:to>
      <xdr:col>9</xdr:col>
      <xdr:colOff>524857</xdr:colOff>
      <xdr:row>30</xdr:row>
      <xdr:rowOff>141990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A28561-DA14-4D6B-AE3E-A4DCE636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51495</xdr:colOff>
      <xdr:row>7</xdr:row>
      <xdr:rowOff>126075</xdr:rowOff>
    </xdr:from>
    <xdr:to>
      <xdr:col>18</xdr:col>
      <xdr:colOff>96853</xdr:colOff>
      <xdr:row>30</xdr:row>
      <xdr:rowOff>165076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7B81D8-15D3-4C58-9D49-73DC41E3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580571</xdr:colOff>
      <xdr:row>10</xdr:row>
      <xdr:rowOff>108857</xdr:rowOff>
    </xdr:from>
    <xdr:to>
      <xdr:col>4</xdr:col>
      <xdr:colOff>27215</xdr:colOff>
      <xdr:row>10</xdr:row>
      <xdr:rowOff>136069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68FFB8-8CAB-438E-A95F-22F5D6840EAC}"/>
            </a:ext>
          </a:extLst>
        </xdr:cNvPr>
        <xdr:cNvCxnSpPr/>
      </xdr:nvCxnSpPr>
      <xdr:spPr>
        <a:xfrm flipV="1">
          <a:off x="580571" y="2186214"/>
          <a:ext cx="3646715" cy="272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117915</xdr:colOff>
      <xdr:row>10</xdr:row>
      <xdr:rowOff>165841</xdr:rowOff>
    </xdr:from>
    <xdr:to>
      <xdr:col>2</xdr:col>
      <xdr:colOff>123480</xdr:colOff>
      <xdr:row>15</xdr:row>
      <xdr:rowOff>54426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AB0A533-EB04-482E-A075-441A4C2CE99D}"/>
            </a:ext>
          </a:extLst>
        </xdr:cNvPr>
        <xdr:cNvCxnSpPr/>
      </xdr:nvCxnSpPr>
      <xdr:spPr>
        <a:xfrm flipH="1">
          <a:off x="2240629" y="2243198"/>
          <a:ext cx="5565" cy="8864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45357</xdr:colOff>
      <xdr:row>5</xdr:row>
      <xdr:rowOff>97653</xdr:rowOff>
    </xdr:from>
    <xdr:to>
      <xdr:col>22</xdr:col>
      <xdr:colOff>254000</xdr:colOff>
      <xdr:row>5</xdr:row>
      <xdr:rowOff>112064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AA98BB8-AFEC-41B3-8570-778DEFA03762}"/>
            </a:ext>
          </a:extLst>
        </xdr:cNvPr>
        <xdr:cNvCxnSpPr/>
      </xdr:nvCxnSpPr>
      <xdr:spPr>
        <a:xfrm flipV="1">
          <a:off x="45357" y="1208903"/>
          <a:ext cx="15784819" cy="1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427425</xdr:colOff>
      <xdr:row>0</xdr:row>
      <xdr:rowOff>163552</xdr:rowOff>
    </xdr:from>
    <xdr:to>
      <xdr:col>20</xdr:col>
      <xdr:colOff>146211</xdr:colOff>
      <xdr:row>4</xdr:row>
      <xdr:rowOff>245195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157A85-5DEA-49A3-9681-B3A077DC6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4704" y="163552"/>
          <a:ext cx="811359" cy="828702"/>
        </a:xfrm>
        <a:prstGeom prst="rect">
          <a:avLst/>
        </a:prstGeom>
      </xdr:spPr>
    </xdr:pic>
    <xdr:clientData/>
  </xdr:twoCellAnchor>
  <xdr:twoCellAnchor editAs="absolute">
    <xdr:from>
      <xdr:col>20</xdr:col>
      <xdr:colOff>546461</xdr:colOff>
      <xdr:row>1</xdr:row>
      <xdr:rowOff>40341</xdr:rowOff>
    </xdr:from>
    <xdr:to>
      <xdr:col>21</xdr:col>
      <xdr:colOff>418884</xdr:colOff>
      <xdr:row>5</xdr:row>
      <xdr:rowOff>35752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E1D2CB-1369-4585-9C34-60643E622776}"/>
            </a:ext>
          </a:extLst>
        </xdr:cNvPr>
        <xdr:cNvSpPr txBox="1"/>
      </xdr:nvSpPr>
      <xdr:spPr>
        <a:xfrm>
          <a:off x="13446032" y="221770"/>
          <a:ext cx="997281" cy="90255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1">
                  <a:lumMod val="75000"/>
                </a:schemeClr>
              </a:solidFill>
            </a:rPr>
            <a:t>Toy Store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9EF8-B280-480C-B216-96E914672492}" name="Data" displayName="Data" ref="A1:J4795" headerRowDxfId="5">
  <autoFilter ref="A1:J4795" xr:uid="{17A29EF8-B280-480C-B216-96E914672492}"/>
  <tableColumns count="10">
    <tableColumn id="1" xr3:uid="{5858B5BC-9766-4AE3-8274-0F645A93DC6F}" name="Year" totalsRowLabel="Total"/>
    <tableColumn id="2" xr3:uid="{D2CA55CF-DCC6-4885-BDF3-905443F165A9}" name="Month"/>
    <tableColumn id="3" xr3:uid="{CD4A8FD9-C486-4B76-AF31-1EF5D552388B}" name="Store Name"/>
    <tableColumn id="4" xr3:uid="{8FFCACAA-17D3-48FA-8C85-12A8D4C57232}" name="Region"/>
    <tableColumn id="5" xr3:uid="{DC6C8078-F861-4720-ACAB-3C12BDD059E7}" name="Store Type"/>
    <tableColumn id="6" xr3:uid="{0BA0C45D-F3D1-48AA-8B72-E6479C5D751F}" name="Product Name"/>
    <tableColumn id="7" xr3:uid="{1409E974-E67C-4E3E-A20A-4203CB9B83D9}" name="Product Category"/>
    <tableColumn id="8" xr3:uid="{3EAD6891-DD47-441A-8395-48E805A7625F}" name="Units Sold"/>
    <tableColumn id="9" xr3:uid="{CEC25243-BC82-40DA-9FA9-57778CC36FDA}" name="Revenue" dataDxfId="4"/>
    <tableColumn id="10" xr3:uid="{0BA8BB10-9701-46DB-8562-86A6E81576E4}" name="Profit" totalsRowFunction="sum" dataDxfId="3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25" zoomScaleNormal="100" workbookViewId="0">
      <selection activeCell="A4536" sqref="A4536:J4795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21BA-8422-4CE8-8A98-1FC3CA31ACF8}">
  <dimension ref="B2:AF44"/>
  <sheetViews>
    <sheetView zoomScale="51" zoomScaleNormal="51" workbookViewId="0">
      <selection activeCell="C16" sqref="C16"/>
    </sheetView>
  </sheetViews>
  <sheetFormatPr defaultRowHeight="14.5" x14ac:dyDescent="0.35"/>
  <cols>
    <col min="2" max="2" width="18.81640625" bestFit="1" customWidth="1"/>
    <col min="3" max="3" width="14.26953125" bestFit="1" customWidth="1"/>
    <col min="5" max="5" width="13.1796875" bestFit="1" customWidth="1"/>
    <col min="6" max="6" width="11.08984375" bestFit="1" customWidth="1"/>
    <col min="10" max="10" width="12.1796875" bestFit="1" customWidth="1"/>
    <col min="14" max="15" width="16.54296875" customWidth="1"/>
    <col min="17" max="17" width="11.7265625" bestFit="1" customWidth="1"/>
    <col min="20" max="20" width="15.6328125" bestFit="1" customWidth="1"/>
    <col min="21" max="21" width="16.90625" customWidth="1"/>
    <col min="22" max="22" width="20.90625" bestFit="1" customWidth="1"/>
    <col min="24" max="24" width="11.26953125" bestFit="1" customWidth="1"/>
    <col min="25" max="25" width="7.453125" bestFit="1" customWidth="1"/>
    <col min="30" max="30" width="13" bestFit="1" customWidth="1"/>
  </cols>
  <sheetData>
    <row r="2" spans="2:32" x14ac:dyDescent="0.35">
      <c r="I2" s="25" t="s">
        <v>88</v>
      </c>
      <c r="J2" s="25"/>
      <c r="K2" s="25"/>
      <c r="L2" s="25"/>
      <c r="N2" s="25" t="s">
        <v>103</v>
      </c>
      <c r="O2" s="25"/>
      <c r="P2" s="25"/>
      <c r="Q2" s="25"/>
      <c r="R2" s="25"/>
      <c r="S2" s="13"/>
      <c r="T2" s="13"/>
      <c r="V2" s="25" t="s">
        <v>105</v>
      </c>
      <c r="W2" s="25"/>
      <c r="X2" s="25"/>
      <c r="Y2" s="25"/>
      <c r="AC2" s="25" t="s">
        <v>109</v>
      </c>
      <c r="AD2" s="25"/>
      <c r="AE2" s="25"/>
      <c r="AF2" s="25"/>
    </row>
    <row r="3" spans="2:32" x14ac:dyDescent="0.35">
      <c r="I3" s="9" t="s">
        <v>89</v>
      </c>
      <c r="J3" s="9" t="s">
        <v>90</v>
      </c>
      <c r="K3" s="9">
        <v>2020</v>
      </c>
      <c r="L3" s="9">
        <v>2021</v>
      </c>
      <c r="N3" s="9" t="s">
        <v>72</v>
      </c>
      <c r="O3" s="9" t="s">
        <v>52</v>
      </c>
      <c r="P3" s="9" t="s">
        <v>46</v>
      </c>
      <c r="Q3" s="9" t="s">
        <v>85</v>
      </c>
      <c r="R3" s="9" t="s">
        <v>87</v>
      </c>
      <c r="S3" s="9" t="s">
        <v>76</v>
      </c>
      <c r="T3" s="9" t="s">
        <v>85</v>
      </c>
      <c r="U3" s="9" t="s">
        <v>115</v>
      </c>
      <c r="V3" s="9" t="s">
        <v>74</v>
      </c>
      <c r="W3" s="9" t="s">
        <v>46</v>
      </c>
      <c r="X3" s="9" t="s">
        <v>85</v>
      </c>
      <c r="Y3" s="9" t="s">
        <v>108</v>
      </c>
      <c r="Z3" s="9" t="s">
        <v>106</v>
      </c>
      <c r="AA3" s="9" t="s">
        <v>107</v>
      </c>
      <c r="AC3" s="9" t="s">
        <v>110</v>
      </c>
      <c r="AD3" s="9" t="s">
        <v>74</v>
      </c>
      <c r="AE3" s="9" t="s">
        <v>46</v>
      </c>
      <c r="AF3" s="9" t="s">
        <v>108</v>
      </c>
    </row>
    <row r="4" spans="2:32" x14ac:dyDescent="0.35">
      <c r="B4" s="25" t="s">
        <v>75</v>
      </c>
      <c r="C4" s="25"/>
      <c r="E4" s="25" t="s">
        <v>82</v>
      </c>
      <c r="F4" s="25"/>
      <c r="I4">
        <v>1</v>
      </c>
      <c r="J4" t="s">
        <v>91</v>
      </c>
      <c r="K4" s="11">
        <f>SUMIFS(Data[[Revenue]:[Revenue]],Data[[Region]:[Region]],Region,Data[[Month]:[Month]],'Data Prep'!$I4,Data[[Year]:[Year]],'Data Prep'!K$3)</f>
        <v>37135.47</v>
      </c>
      <c r="L4" s="11">
        <f>IF(I4&gt;$C$12,NA(),SUMIFS(Data[[Revenue]:[Revenue]],Data[[Region]:[Region]],Region,Data[[Month]:[Month]],'Data Prep'!$I4,Data[[Year]:[Year]],'Data Prep'!L$3))</f>
        <v>51959.660000000011</v>
      </c>
      <c r="N4" s="7" t="s">
        <v>56</v>
      </c>
      <c r="O4" s="22" t="str">
        <f>VLOOKUP(N4,Data[[Store Name]:[Region]],2,0)</f>
        <v>Los Angeles</v>
      </c>
      <c r="P4" s="12">
        <f>SUMIFS(Data[Revenue],Data[Store Name],'Data Prep'!N4,Data[Year],CurYear,Data[Month],CurMonth)</f>
        <v>15765.830000000002</v>
      </c>
      <c r="Q4" s="12">
        <f>SUMIFS(Data[Revenue],Data[Store Name],'Data Prep'!N4,Data[Month],PMonth,Data[Year],PMYEAR)</f>
        <v>11411.519999999999</v>
      </c>
      <c r="R4" s="10">
        <f>P4/Q4-1</f>
        <v>0.38157142957292312</v>
      </c>
      <c r="S4" s="12">
        <f t="shared" ref="S4:S13" si="0">IF($O4=Region,P4,0)</f>
        <v>15765.830000000002</v>
      </c>
      <c r="T4" s="12">
        <f t="shared" ref="T4:T13" si="1">IF($O4=Region,Q4,0)</f>
        <v>11411.519999999999</v>
      </c>
      <c r="U4" s="10">
        <f t="shared" ref="U4:U13" si="2">IF($O4=Region,R4,0)</f>
        <v>0.38157142957292312</v>
      </c>
      <c r="V4" s="7" t="s">
        <v>13</v>
      </c>
      <c r="W4" s="12">
        <f>SUMIFS(Data[Revenue],Data[Region],Region,Data[Year],CurYear,Data[Month],CurMonth,Data[Product Name],'Data Prep'!V4)</f>
        <v>1662.96</v>
      </c>
      <c r="X4" s="12">
        <f>SUMIFS(Data[Revenue],Data[Region],Region,Data[Year],PMYEAR,Data[Month],PMonth,Data[Product Name],'Data Prep'!V4)</f>
        <v>1087.3200000000002</v>
      </c>
      <c r="Y4" s="2">
        <f>W4-X4</f>
        <v>575.63999999999987</v>
      </c>
      <c r="Z4">
        <f>_xlfn.RANK.AVG(Y4,$Y$4:$Y$44,0)</f>
        <v>5</v>
      </c>
      <c r="AA4">
        <f>_xlfn.RANK.AVG(Y4,$Y$4:$Y$44,1)</f>
        <v>37</v>
      </c>
      <c r="AC4">
        <v>1</v>
      </c>
      <c r="AD4" t="str">
        <f>INDEX($V$4:$Y$44,MATCH($AC4,$Z$4:$Z$44,0),MATCH(AD$3,$V$3:$Y$3,0))</f>
        <v>Magic Sand</v>
      </c>
      <c r="AE4" s="12">
        <f t="shared" ref="AE4:AF8" si="3">INDEX($V$4:$Y$44,MATCH($AC4,$Z$4:$Z$44,0),MATCH(AE$3,$V$3:$Y$3,0))</f>
        <v>6523.92</v>
      </c>
      <c r="AF4" s="2">
        <f t="shared" si="3"/>
        <v>3293.9400000000005</v>
      </c>
    </row>
    <row r="5" spans="2:32" x14ac:dyDescent="0.35">
      <c r="B5" s="6" t="s">
        <v>52</v>
      </c>
      <c r="C5" s="6" t="s">
        <v>76</v>
      </c>
      <c r="E5" s="9" t="s">
        <v>83</v>
      </c>
      <c r="F5" s="11">
        <f>SUMIFS(Data[Revenue],Data[Region],'Data Prep'!C6,Data[Year],'Data Prep'!C11,Data[Month],'Data Prep'!C12)</f>
        <v>44041.12999999999</v>
      </c>
      <c r="I5">
        <v>2</v>
      </c>
      <c r="J5" t="s">
        <v>92</v>
      </c>
      <c r="K5" s="11">
        <f>SUMIFS(Data[[Revenue]:[Revenue]],Data[[Region]:[Region]],Region,Data[[Month]:[Month]],'Data Prep'!$I5,Data[[Year]:[Year]],'Data Prep'!K$3)</f>
        <v>31324.390000000007</v>
      </c>
      <c r="L5" s="11">
        <f>IF(I5&gt;$C$12,NA(),SUMIFS(Data[[Revenue]:[Revenue]],Data[[Region]:[Region]],Region,Data[[Month]:[Month]],'Data Prep'!$I5,Data[[Year]:[Year]],'Data Prep'!L$3))</f>
        <v>53726.850000000006</v>
      </c>
      <c r="N5" s="7" t="s">
        <v>59</v>
      </c>
      <c r="O5" s="22" t="str">
        <f>VLOOKUP(N5,Data[[Store Name]:[Region]],2,0)</f>
        <v>Los Angeles</v>
      </c>
      <c r="P5" s="12">
        <f>SUMIFS(Data[Revenue],Data[Store Name],'Data Prep'!N5,Data[Year],CurYear,Data[Month],CurMonth)</f>
        <v>10103.540000000001</v>
      </c>
      <c r="Q5" s="12">
        <f>SUMIFS(Data[Revenue],Data[Store Name],'Data Prep'!N5,Data[Month],PMonth,Data[Year],PMYEAR)</f>
        <v>7938.76</v>
      </c>
      <c r="R5" s="10">
        <f t="shared" ref="R5:R13" si="4">P5/Q5-1</f>
        <v>0.27268490293194403</v>
      </c>
      <c r="S5" s="12">
        <f t="shared" si="0"/>
        <v>10103.540000000001</v>
      </c>
      <c r="T5" s="12">
        <f t="shared" si="1"/>
        <v>7938.76</v>
      </c>
      <c r="U5" s="10">
        <f t="shared" si="2"/>
        <v>0.27268490293194403</v>
      </c>
      <c r="V5" s="8" t="s">
        <v>24</v>
      </c>
      <c r="W5" s="12">
        <f>SUMIFS(Data[Revenue],Data[Region],Region,Data[Year],CurYear,Data[Month],CurMonth,Data[Product Name],'Data Prep'!V5)</f>
        <v>1675.71</v>
      </c>
      <c r="X5" s="12">
        <f>SUMIFS(Data[Revenue],Data[Region],Region,Data[Year],PMYEAR,Data[Month],PMonth,Data[Product Name],'Data Prep'!V5)</f>
        <v>2805.84</v>
      </c>
      <c r="Y5" s="2">
        <f t="shared" ref="Y5:Y44" si="5">W5-X5</f>
        <v>-1130.1300000000001</v>
      </c>
      <c r="Z5">
        <f t="shared" ref="Z5:Z44" si="6">_xlfn.RANK.AVG(Y5,$Y$4:$Y$44)</f>
        <v>39</v>
      </c>
      <c r="AA5">
        <f t="shared" ref="AA5:AA44" si="7">_xlfn.RANK.AVG(Y5,$Y$4:$Y$44,1)</f>
        <v>3</v>
      </c>
      <c r="AC5">
        <v>2</v>
      </c>
      <c r="AD5" t="str">
        <f t="shared" ref="AD5:AD8" si="8">INDEX($V$4:$Y$44,MATCH($AC5,$Z$4:$Z$44,0),MATCH(AD$3,$V$3:$Y$3,0))</f>
        <v>Playfoam</v>
      </c>
      <c r="AE5" s="12">
        <f t="shared" si="3"/>
        <v>2274.9300000000003</v>
      </c>
      <c r="AF5" s="2">
        <f t="shared" si="3"/>
        <v>2088.1000000000004</v>
      </c>
    </row>
    <row r="6" spans="2:32" x14ac:dyDescent="0.35">
      <c r="B6" t="s">
        <v>4</v>
      </c>
      <c r="C6" t="str">
        <f>Dashboard!C5</f>
        <v>Los Angeles</v>
      </c>
      <c r="E6" s="9" t="s">
        <v>84</v>
      </c>
      <c r="F6" s="11">
        <f>SUMIFS(Data[Revenue],Data[Region],'Data Prep'!C6,Data[Year],'Data Prep'!C13,Data[Month],'Data Prep'!C12)</f>
        <v>34881.53</v>
      </c>
      <c r="I6">
        <v>3</v>
      </c>
      <c r="J6" t="s">
        <v>93</v>
      </c>
      <c r="K6" s="11">
        <f>SUMIFS(Data[[Revenue]:[Revenue]],Data[[Region]:[Region]],Region,Data[[Month]:[Month]],'Data Prep'!$I6,Data[[Year]:[Year]],'Data Prep'!K$3)</f>
        <v>38310.149999999987</v>
      </c>
      <c r="L6" s="11">
        <f>IF(I6&gt;$C$12,NA(),SUMIFS(Data[[Revenue]:[Revenue]],Data[[Region]:[Region]],Region,Data[[Month]:[Month]],'Data Prep'!$I6,Data[[Year]:[Year]],'Data Prep'!L$3))</f>
        <v>53604.229999999989</v>
      </c>
      <c r="N6" s="7" t="s">
        <v>62</v>
      </c>
      <c r="O6" s="22" t="str">
        <f>VLOOKUP(N6,Data[[Store Name]:[Region]],2,0)</f>
        <v>New York</v>
      </c>
      <c r="P6" s="12">
        <f>SUMIFS(Data[Revenue],Data[Store Name],'Data Prep'!N6,Data[Year],CurYear,Data[Month],CurMonth)</f>
        <v>20484.010000000002</v>
      </c>
      <c r="Q6" s="12">
        <f>SUMIFS(Data[Revenue],Data[Store Name],'Data Prep'!N6,Data[Month],PMonth,Data[Year],PMYEAR)</f>
        <v>17895.43</v>
      </c>
      <c r="R6" s="10">
        <f t="shared" si="4"/>
        <v>0.14465033810308014</v>
      </c>
      <c r="S6" s="12">
        <f t="shared" si="0"/>
        <v>0</v>
      </c>
      <c r="T6" s="12">
        <f t="shared" si="1"/>
        <v>0</v>
      </c>
      <c r="U6" s="10">
        <f t="shared" si="2"/>
        <v>0</v>
      </c>
      <c r="V6" s="7" t="s">
        <v>18</v>
      </c>
      <c r="W6" s="12">
        <f>SUMIFS(Data[Revenue],Data[Region],Region,Data[Year],CurYear,Data[Month],CurMonth,Data[Product Name],'Data Prep'!V6)</f>
        <v>233.82</v>
      </c>
      <c r="X6" s="12">
        <f>SUMIFS(Data[Revenue],Data[Region],Region,Data[Year],PMYEAR,Data[Month],PMonth,Data[Product Name],'Data Prep'!V6)</f>
        <v>0</v>
      </c>
      <c r="Y6" s="2">
        <f t="shared" si="5"/>
        <v>233.82</v>
      </c>
      <c r="Z6">
        <f t="shared" si="6"/>
        <v>12</v>
      </c>
      <c r="AA6">
        <f t="shared" si="7"/>
        <v>30</v>
      </c>
      <c r="AC6">
        <v>3</v>
      </c>
      <c r="AD6" t="str">
        <f t="shared" si="8"/>
        <v>Toy Robot</v>
      </c>
      <c r="AE6" s="12">
        <f t="shared" si="3"/>
        <v>1533.4099999999999</v>
      </c>
      <c r="AF6" s="2">
        <f t="shared" si="3"/>
        <v>1533.4099999999999</v>
      </c>
    </row>
    <row r="7" spans="2:32" x14ac:dyDescent="0.35">
      <c r="B7" t="s">
        <v>5</v>
      </c>
      <c r="E7" s="9" t="s">
        <v>85</v>
      </c>
      <c r="F7" s="11">
        <f>SUMIFS(Data[Revenue],Data[Region],'Data Prep'!C6,Data[Year],IF(CurMonth=1,C13,C11),Data[Month],C14)</f>
        <v>41270.179999999986</v>
      </c>
      <c r="I7">
        <v>4</v>
      </c>
      <c r="J7" t="s">
        <v>94</v>
      </c>
      <c r="K7" s="11">
        <f>SUMIFS(Data[[Revenue]:[Revenue]],Data[[Region]:[Region]],Region,Data[[Month]:[Month]],'Data Prep'!$I7,Data[[Year]:[Year]],'Data Prep'!K$3)</f>
        <v>43124.819999999992</v>
      </c>
      <c r="L7" s="11">
        <f>IF(I7&gt;$C$12,NA(),SUMIFS(Data[[Revenue]:[Revenue]],Data[[Region]:[Region]],Region,Data[[Month]:[Month]],'Data Prep'!$I7,Data[[Year]:[Year]],'Data Prep'!L$3))</f>
        <v>50597.080000000009</v>
      </c>
      <c r="N7" s="7" t="s">
        <v>55</v>
      </c>
      <c r="O7" s="22" t="str">
        <f>VLOOKUP(N7,Data[[Store Name]:[Region]],2,0)</f>
        <v>Chicago</v>
      </c>
      <c r="P7" s="12">
        <f>SUMIFS(Data[Revenue],Data[Store Name],'Data Prep'!N7,Data[Year],CurYear,Data[Month],CurMonth)</f>
        <v>18238.46</v>
      </c>
      <c r="Q7" s="12">
        <f>SUMIFS(Data[Revenue],Data[Store Name],'Data Prep'!N7,Data[Month],PMonth,Data[Year],PMYEAR)</f>
        <v>15332.379999999996</v>
      </c>
      <c r="R7" s="10">
        <f t="shared" si="4"/>
        <v>0.18953874088693379</v>
      </c>
      <c r="S7" s="12">
        <f t="shared" si="0"/>
        <v>0</v>
      </c>
      <c r="T7" s="12">
        <f t="shared" si="1"/>
        <v>0</v>
      </c>
      <c r="U7" s="10">
        <f t="shared" si="2"/>
        <v>0</v>
      </c>
      <c r="V7" s="8" t="s">
        <v>30</v>
      </c>
      <c r="W7" s="12">
        <f>SUMIFS(Data[Revenue],Data[Region],Region,Data[Year],CurYear,Data[Month],CurMonth,Data[Product Name],'Data Prep'!V7)</f>
        <v>249.75</v>
      </c>
      <c r="X7" s="12">
        <f>SUMIFS(Data[Revenue],Data[Region],Region,Data[Year],PMYEAR,Data[Month],PMonth,Data[Product Name],'Data Prep'!V7)</f>
        <v>0</v>
      </c>
      <c r="Y7" s="2">
        <f t="shared" si="5"/>
        <v>249.75</v>
      </c>
      <c r="Z7">
        <f t="shared" si="6"/>
        <v>11</v>
      </c>
      <c r="AA7">
        <f t="shared" si="7"/>
        <v>31</v>
      </c>
      <c r="AC7">
        <v>4</v>
      </c>
      <c r="AD7" t="str">
        <f t="shared" si="8"/>
        <v>Glass Marbles</v>
      </c>
      <c r="AE7" s="12">
        <f t="shared" si="3"/>
        <v>1329.79</v>
      </c>
      <c r="AF7" s="2">
        <f t="shared" si="3"/>
        <v>615.44000000000005</v>
      </c>
    </row>
    <row r="8" spans="2:32" x14ac:dyDescent="0.35">
      <c r="B8" t="s">
        <v>48</v>
      </c>
      <c r="E8" s="9" t="s">
        <v>86</v>
      </c>
      <c r="F8" s="14">
        <f>F5/F6-1</f>
        <v>0.26259169250890069</v>
      </c>
      <c r="I8">
        <v>5</v>
      </c>
      <c r="J8" t="s">
        <v>95</v>
      </c>
      <c r="K8" s="11">
        <f>SUMIFS(Data[[Revenue]:[Revenue]],Data[[Region]:[Region]],Region,Data[[Month]:[Month]],'Data Prep'!$I8,Data[[Year]:[Year]],'Data Prep'!K$3)</f>
        <v>48602.219999999994</v>
      </c>
      <c r="L8" s="11">
        <f>IF(I8&gt;$C$12,NA(),SUMIFS(Data[[Revenue]:[Revenue]],Data[[Region]:[Region]],Region,Data[[Month]:[Month]],'Data Prep'!$I8,Data[[Year]:[Year]],'Data Prep'!L$3))</f>
        <v>66944.169999999984</v>
      </c>
      <c r="N8" s="7" t="s">
        <v>61</v>
      </c>
      <c r="O8" s="22" t="str">
        <f>VLOOKUP(N8,Data[[Store Name]:[Region]],2,0)</f>
        <v>Los Angeles</v>
      </c>
      <c r="P8" s="12">
        <f>SUMIFS(Data[Revenue],Data[Store Name],'Data Prep'!N8,Data[Year],CurYear,Data[Month],CurMonth)</f>
        <v>18171.759999999995</v>
      </c>
      <c r="Q8" s="12">
        <f>SUMIFS(Data[Revenue],Data[Store Name],'Data Prep'!N8,Data[Month],PMonth,Data[Year],PMYEAR)</f>
        <v>21919.900000000005</v>
      </c>
      <c r="R8" s="10">
        <f t="shared" si="4"/>
        <v>-0.17099256839675403</v>
      </c>
      <c r="S8" s="12">
        <f t="shared" si="0"/>
        <v>18171.759999999995</v>
      </c>
      <c r="T8" s="12">
        <f t="shared" si="1"/>
        <v>21919.900000000005</v>
      </c>
      <c r="U8" s="10">
        <f t="shared" si="2"/>
        <v>-0.17099256839675403</v>
      </c>
      <c r="V8" s="7" t="s">
        <v>20</v>
      </c>
      <c r="W8" s="12">
        <f>SUMIFS(Data[Revenue],Data[Region],Region,Data[Year],CurYear,Data[Month],CurMonth,Data[Product Name],'Data Prep'!V8)</f>
        <v>4467.0200000000004</v>
      </c>
      <c r="X8" s="12">
        <f>SUMIFS(Data[Revenue],Data[Region],Region,Data[Year],PMYEAR,Data[Month],PMonth,Data[Product Name],'Data Prep'!V8)</f>
        <v>4377.08</v>
      </c>
      <c r="Y8" s="2">
        <f t="shared" si="5"/>
        <v>89.940000000000509</v>
      </c>
      <c r="Z8">
        <f t="shared" si="6"/>
        <v>17</v>
      </c>
      <c r="AA8">
        <f t="shared" si="7"/>
        <v>25</v>
      </c>
      <c r="AC8">
        <v>5</v>
      </c>
      <c r="AD8" t="str">
        <f t="shared" si="8"/>
        <v>Action Figure</v>
      </c>
      <c r="AE8" s="12">
        <f t="shared" si="3"/>
        <v>1662.96</v>
      </c>
      <c r="AF8" s="2">
        <f t="shared" si="3"/>
        <v>575.63999999999987</v>
      </c>
    </row>
    <row r="9" spans="2:32" x14ac:dyDescent="0.35">
      <c r="E9" s="9" t="s">
        <v>87</v>
      </c>
      <c r="F9" s="14">
        <f>F5/F7-1</f>
        <v>6.7141698921594273E-2</v>
      </c>
      <c r="I9">
        <v>6</v>
      </c>
      <c r="J9" t="s">
        <v>96</v>
      </c>
      <c r="K9" s="11">
        <f>SUMIFS(Data[[Revenue]:[Revenue]],Data[[Region]:[Region]],Region,Data[[Month]:[Month]],'Data Prep'!$I9,Data[[Year]:[Year]],'Data Prep'!K$3)</f>
        <v>42487.139999999992</v>
      </c>
      <c r="L9" s="11">
        <f>IF(I9&gt;$C$12,NA(),SUMIFS(Data[[Revenue]:[Revenue]],Data[[Region]:[Region]],Region,Data[[Month]:[Month]],'Data Prep'!$I9,Data[[Year]:[Year]],'Data Prep'!L$3))</f>
        <v>46196.220000000008</v>
      </c>
      <c r="N9" s="8" t="s">
        <v>57</v>
      </c>
      <c r="O9" s="22" t="str">
        <f>VLOOKUP(N9,Data[[Store Name]:[Region]],2,0)</f>
        <v>Chicago</v>
      </c>
      <c r="P9" s="12">
        <f>SUMIFS(Data[Revenue],Data[Store Name],'Data Prep'!N9,Data[Year],CurYear,Data[Month],CurMonth)</f>
        <v>18237.980000000003</v>
      </c>
      <c r="Q9" s="12">
        <f>SUMIFS(Data[Revenue],Data[Store Name],'Data Prep'!N9,Data[Month],PMonth,Data[Year],PMYEAR)</f>
        <v>27284.929999999993</v>
      </c>
      <c r="R9" s="10">
        <f t="shared" si="4"/>
        <v>-0.3315731431233282</v>
      </c>
      <c r="S9" s="12">
        <f t="shared" si="0"/>
        <v>0</v>
      </c>
      <c r="T9" s="12">
        <f t="shared" si="1"/>
        <v>0</v>
      </c>
      <c r="U9" s="10">
        <f t="shared" si="2"/>
        <v>0</v>
      </c>
      <c r="V9" s="8" t="s">
        <v>25</v>
      </c>
      <c r="W9" s="12">
        <f>SUMIFS(Data[Revenue],Data[Region],Region,Data[Year],CurYear,Data[Month],CurMonth,Data[Product Name],'Data Prep'!V9)</f>
        <v>575.64</v>
      </c>
      <c r="X9" s="12">
        <f>SUMIFS(Data[Revenue],Data[Region],Region,Data[Year],PMYEAR,Data[Month],PMonth,Data[Product Name],'Data Prep'!V9)</f>
        <v>1263.21</v>
      </c>
      <c r="Y9" s="2">
        <f t="shared" si="5"/>
        <v>-687.57</v>
      </c>
      <c r="Z9">
        <f t="shared" si="6"/>
        <v>38</v>
      </c>
      <c r="AA9">
        <f t="shared" si="7"/>
        <v>4</v>
      </c>
    </row>
    <row r="10" spans="2:32" x14ac:dyDescent="0.35">
      <c r="B10" s="25" t="s">
        <v>77</v>
      </c>
      <c r="C10" s="25"/>
      <c r="I10">
        <v>7</v>
      </c>
      <c r="J10" t="s">
        <v>97</v>
      </c>
      <c r="K10" s="11">
        <f>SUMIFS(Data[[Revenue]:[Revenue]],Data[[Region]:[Region]],Region,Data[[Month]:[Month]],'Data Prep'!$I10,Data[[Year]:[Year]],'Data Prep'!K$3)</f>
        <v>44643.76</v>
      </c>
      <c r="L10" s="11">
        <f>IF(I10&gt;$C$12,NA(),SUMIFS(Data[[Revenue]:[Revenue]],Data[[Region]:[Region]],Region,Data[[Month]:[Month]],'Data Prep'!$I10,Data[[Year]:[Year]],'Data Prep'!L$3))</f>
        <v>59782.98000000001</v>
      </c>
      <c r="N10" s="8" t="s">
        <v>60</v>
      </c>
      <c r="O10" s="22" t="str">
        <f>VLOOKUP(N10,Data[[Store Name]:[Region]],2,0)</f>
        <v>New York</v>
      </c>
      <c r="P10" s="12">
        <f>SUMIFS(Data[Revenue],Data[Store Name],'Data Prep'!N10,Data[Year],CurYear,Data[Month],CurMonth)</f>
        <v>13879.13</v>
      </c>
      <c r="Q10" s="12">
        <f>SUMIFS(Data[Revenue],Data[Store Name],'Data Prep'!N10,Data[Month],PMonth,Data[Year],PMYEAR)</f>
        <v>13127.479999999996</v>
      </c>
      <c r="R10" s="10">
        <f t="shared" si="4"/>
        <v>5.7257752439920262E-2</v>
      </c>
      <c r="S10" s="12">
        <f t="shared" si="0"/>
        <v>0</v>
      </c>
      <c r="T10" s="12">
        <f t="shared" si="1"/>
        <v>0</v>
      </c>
      <c r="U10" s="10">
        <f t="shared" si="2"/>
        <v>0</v>
      </c>
      <c r="V10" s="7" t="s">
        <v>8</v>
      </c>
      <c r="W10" s="12">
        <f>SUMIFS(Data[Revenue],Data[Region],Region,Data[Year],CurYear,Data[Month],CurMonth,Data[Product Name],'Data Prep'!V10)</f>
        <v>2334.66</v>
      </c>
      <c r="X10" s="12">
        <f>SUMIFS(Data[Revenue],Data[Region],Region,Data[Year],PMYEAR,Data[Month],PMonth,Data[Product Name],'Data Prep'!V10)</f>
        <v>2006.13</v>
      </c>
      <c r="Y10" s="2">
        <f t="shared" si="5"/>
        <v>328.52999999999975</v>
      </c>
      <c r="Z10">
        <f t="shared" si="6"/>
        <v>10</v>
      </c>
      <c r="AA10">
        <f t="shared" si="7"/>
        <v>32</v>
      </c>
    </row>
    <row r="11" spans="2:32" x14ac:dyDescent="0.35">
      <c r="B11" s="9" t="s">
        <v>78</v>
      </c>
      <c r="C11">
        <f>MAX(Data[Year])</f>
        <v>2021</v>
      </c>
      <c r="I11">
        <v>8</v>
      </c>
      <c r="J11" t="s">
        <v>98</v>
      </c>
      <c r="K11" s="11">
        <f>SUMIFS(Data[[Revenue]:[Revenue]],Data[[Region]:[Region]],Region,Data[[Month]:[Month]],'Data Prep'!$I11,Data[[Year]:[Year]],'Data Prep'!K$3)</f>
        <v>36202.770000000004</v>
      </c>
      <c r="L11" s="11">
        <f>IF(I11&gt;$C$12,NA(),SUMIFS(Data[[Revenue]:[Revenue]],Data[[Region]:[Region]],Region,Data[[Month]:[Month]],'Data Prep'!$I11,Data[[Year]:[Year]],'Data Prep'!L$3))</f>
        <v>41270.179999999986</v>
      </c>
      <c r="N11" s="7" t="s">
        <v>53</v>
      </c>
      <c r="O11" s="22" t="str">
        <f>VLOOKUP(N11,Data[[Store Name]:[Region]],2,0)</f>
        <v>Chicago</v>
      </c>
      <c r="P11" s="12">
        <f>SUMIFS(Data[Revenue],Data[Store Name],'Data Prep'!N11,Data[Year],CurYear,Data[Month],CurMonth)</f>
        <v>17505.330000000002</v>
      </c>
      <c r="Q11" s="12">
        <f>SUMIFS(Data[Revenue],Data[Store Name],'Data Prep'!N11,Data[Month],PMonth,Data[Year],PMYEAR)</f>
        <v>17049.52</v>
      </c>
      <c r="R11" s="10">
        <f t="shared" si="4"/>
        <v>2.6734476982343214E-2</v>
      </c>
      <c r="S11" s="12">
        <f t="shared" si="0"/>
        <v>0</v>
      </c>
      <c r="T11" s="12">
        <f t="shared" si="1"/>
        <v>0</v>
      </c>
      <c r="U11" s="10">
        <f t="shared" si="2"/>
        <v>0</v>
      </c>
      <c r="V11" s="8" t="s">
        <v>17</v>
      </c>
      <c r="W11" s="12">
        <f>SUMIFS(Data[Revenue],Data[Region],Region,Data[Year],CurYear,Data[Month],CurMonth,Data[Product Name],'Data Prep'!V11)</f>
        <v>2659.58</v>
      </c>
      <c r="X11" s="12">
        <f>SUMIFS(Data[Revenue],Data[Region],Region,Data[Year],PMYEAR,Data[Month],PMonth,Data[Product Name],'Data Prep'!V11)</f>
        <v>3901.45</v>
      </c>
      <c r="Y11" s="2">
        <f t="shared" si="5"/>
        <v>-1241.8699999999999</v>
      </c>
      <c r="Z11">
        <f t="shared" si="6"/>
        <v>40</v>
      </c>
      <c r="AA11">
        <f t="shared" si="7"/>
        <v>2</v>
      </c>
      <c r="AC11" s="25" t="s">
        <v>111</v>
      </c>
      <c r="AD11" s="25"/>
      <c r="AE11" s="25"/>
      <c r="AF11" s="25"/>
    </row>
    <row r="12" spans="2:32" x14ac:dyDescent="0.35">
      <c r="B12" s="9" t="s">
        <v>79</v>
      </c>
      <c r="C12">
        <f>_xlfn.MAXIFS(Data[Month],Data[Year],'Data Prep'!C11)</f>
        <v>9</v>
      </c>
      <c r="I12">
        <v>9</v>
      </c>
      <c r="J12" t="s">
        <v>99</v>
      </c>
      <c r="K12" s="11">
        <f>SUMIFS(Data[[Revenue]:[Revenue]],Data[[Region]:[Region]],Region,Data[[Month]:[Month]],'Data Prep'!$I12,Data[[Year]:[Year]],'Data Prep'!K$3)</f>
        <v>34881.53</v>
      </c>
      <c r="L12" s="11">
        <f>IF(I12&gt;$C$12,NA(),SUMIFS(Data[[Revenue]:[Revenue]],Data[[Region]:[Region]],Region,Data[[Month]:[Month]],'Data Prep'!$I12,Data[[Year]:[Year]],'Data Prep'!L$3))</f>
        <v>44041.12999999999</v>
      </c>
      <c r="N12" s="8" t="s">
        <v>54</v>
      </c>
      <c r="O12" s="22" t="str">
        <f>VLOOKUP(N12,Data[[Store Name]:[Region]],2,0)</f>
        <v>Chicago</v>
      </c>
      <c r="P12" s="12">
        <f>SUMIFS(Data[Revenue],Data[Store Name],'Data Prep'!N12,Data[Year],CurYear,Data[Month],CurMonth)</f>
        <v>7721.8800000000019</v>
      </c>
      <c r="Q12" s="12">
        <f>SUMIFS(Data[Revenue],Data[Store Name],'Data Prep'!N12,Data[Month],PMonth,Data[Year],PMYEAR)</f>
        <v>10132.16</v>
      </c>
      <c r="R12" s="10">
        <f t="shared" si="4"/>
        <v>-0.23788412342481746</v>
      </c>
      <c r="S12" s="12">
        <f t="shared" si="0"/>
        <v>0</v>
      </c>
      <c r="T12" s="12">
        <f t="shared" si="1"/>
        <v>0</v>
      </c>
      <c r="U12" s="10">
        <f t="shared" si="2"/>
        <v>0</v>
      </c>
      <c r="V12" s="7" t="s">
        <v>28</v>
      </c>
      <c r="W12" s="12">
        <f>SUMIFS(Data[Revenue],Data[Region],Region,Data[Year],CurYear,Data[Month],CurMonth,Data[Product Name],'Data Prep'!V12)</f>
        <v>1424.05</v>
      </c>
      <c r="X12" s="12">
        <f>SUMIFS(Data[Revenue],Data[Region],Region,Data[Year],PMYEAR,Data[Month],PMonth,Data[Product Name],'Data Prep'!V12)</f>
        <v>1469.02</v>
      </c>
      <c r="Y12" s="2">
        <f t="shared" si="5"/>
        <v>-44.970000000000027</v>
      </c>
      <c r="Z12">
        <f t="shared" si="6"/>
        <v>28</v>
      </c>
      <c r="AA12">
        <f t="shared" si="7"/>
        <v>14</v>
      </c>
      <c r="AC12" s="9" t="s">
        <v>110</v>
      </c>
      <c r="AD12" s="9" t="s">
        <v>74</v>
      </c>
      <c r="AE12" s="9" t="s">
        <v>46</v>
      </c>
      <c r="AF12" s="9" t="s">
        <v>108</v>
      </c>
    </row>
    <row r="13" spans="2:32" x14ac:dyDescent="0.35">
      <c r="B13" s="9" t="s">
        <v>80</v>
      </c>
      <c r="C13">
        <f>C11-1</f>
        <v>2020</v>
      </c>
      <c r="I13">
        <v>10</v>
      </c>
      <c r="J13" t="s">
        <v>100</v>
      </c>
      <c r="K13" s="11">
        <f>SUMIFS(Data[[Revenue]:[Revenue]],Data[[Region]:[Region]],Region,Data[[Month]:[Month]],'Data Prep'!$I13,Data[[Year]:[Year]],'Data Prep'!K$3)</f>
        <v>43505.939999999995</v>
      </c>
      <c r="L13" s="11" t="e">
        <f>IF(I13&gt;$C$12,NA(),SUMIFS(Data[[Revenue]:[Revenue]],Data[[Region]:[Region]],Region,Data[[Month]:[Month]],'Data Prep'!$I13,Data[[Year]:[Year]],'Data Prep'!L$3))</f>
        <v>#N/A</v>
      </c>
      <c r="N13" s="7" t="s">
        <v>58</v>
      </c>
      <c r="O13" s="22" t="str">
        <f>VLOOKUP(N13,Data[[Store Name]:[Region]],2,0)</f>
        <v>New York</v>
      </c>
      <c r="P13" s="12">
        <f>SUMIFS(Data[Revenue],Data[Store Name],'Data Prep'!N13,Data[Year],CurYear,Data[Month],CurMonth)</f>
        <v>16255.230000000001</v>
      </c>
      <c r="Q13" s="12">
        <f>SUMIFS(Data[Revenue],Data[Store Name],'Data Prep'!N13,Data[Month],PMonth,Data[Year],PMYEAR)</f>
        <v>18815.63</v>
      </c>
      <c r="R13" s="10">
        <f t="shared" si="4"/>
        <v>-0.13607835613264074</v>
      </c>
      <c r="S13" s="12">
        <f t="shared" si="0"/>
        <v>0</v>
      </c>
      <c r="T13" s="12">
        <f t="shared" si="1"/>
        <v>0</v>
      </c>
      <c r="U13" s="10">
        <f t="shared" si="2"/>
        <v>0</v>
      </c>
      <c r="V13" s="8" t="s">
        <v>32</v>
      </c>
      <c r="W13" s="12">
        <f>SUMIFS(Data[Revenue],Data[Region],Region,Data[Year],CurYear,Data[Month],CurMonth,Data[Product Name],'Data Prep'!V13)</f>
        <v>1329.79</v>
      </c>
      <c r="X13" s="12">
        <f>SUMIFS(Data[Revenue],Data[Region],Region,Data[Year],PMYEAR,Data[Month],PMonth,Data[Product Name],'Data Prep'!V13)</f>
        <v>714.34999999999991</v>
      </c>
      <c r="Y13" s="2">
        <f t="shared" si="5"/>
        <v>615.44000000000005</v>
      </c>
      <c r="Z13">
        <f t="shared" si="6"/>
        <v>4</v>
      </c>
      <c r="AA13">
        <f t="shared" si="7"/>
        <v>38</v>
      </c>
      <c r="AC13">
        <v>1</v>
      </c>
      <c r="AD13" t="str">
        <f>INDEX($V$4:$Y$44,MATCH($AC13,$AA$4:$AA$44,0),MATCH(AD$3,$V$3:$Y$3,0))</f>
        <v>Rubik's Cube</v>
      </c>
      <c r="AE13" s="12">
        <f t="shared" ref="AE13:AF17" si="9">INDEX($V$4:$Y$44,MATCH($AC13,$AA$4:$AA$44,0),MATCH(AE$3,$V$3:$Y$3,0))</f>
        <v>1479.2599999999998</v>
      </c>
      <c r="AF13" s="2">
        <f t="shared" si="9"/>
        <v>-2598.6999999999998</v>
      </c>
    </row>
    <row r="14" spans="2:32" x14ac:dyDescent="0.35">
      <c r="B14" s="9" t="s">
        <v>81</v>
      </c>
      <c r="C14">
        <f>IF(C12=1,12,C12-1)</f>
        <v>8</v>
      </c>
      <c r="I14">
        <v>11</v>
      </c>
      <c r="J14" t="s">
        <v>101</v>
      </c>
      <c r="K14" s="11">
        <f>SUMIFS(Data[[Revenue]:[Revenue]],Data[[Region]:[Region]],Region,Data[[Month]:[Month]],'Data Prep'!$I14,Data[[Year]:[Year]],'Data Prep'!K$3)</f>
        <v>43677.41</v>
      </c>
      <c r="L14" s="11" t="e">
        <f>IF(I14&gt;$C$12,NA(),SUMIFS(Data[[Revenue]:[Revenue]],Data[[Region]:[Region]],Region,Data[[Month]:[Month]],'Data Prep'!$I14,Data[[Year]:[Year]],'Data Prep'!L$3))</f>
        <v>#N/A</v>
      </c>
      <c r="V14" s="7" t="s">
        <v>31</v>
      </c>
      <c r="W14" s="12">
        <f>SUMIFS(Data[Revenue],Data[Region],Region,Data[Year],CurYear,Data[Month],CurMonth,Data[Product Name],'Data Prep'!V14)</f>
        <v>1019.4899999999999</v>
      </c>
      <c r="X14" s="12">
        <f>SUMIFS(Data[Revenue],Data[Region],Region,Data[Year],PMYEAR,Data[Month],PMonth,Data[Product Name],'Data Prep'!V14)</f>
        <v>919.54</v>
      </c>
      <c r="Y14" s="2">
        <f t="shared" si="5"/>
        <v>99.949999999999932</v>
      </c>
      <c r="Z14">
        <f t="shared" si="6"/>
        <v>15</v>
      </c>
      <c r="AA14">
        <f t="shared" si="7"/>
        <v>27</v>
      </c>
      <c r="AC14">
        <v>2</v>
      </c>
      <c r="AD14" t="str">
        <f t="shared" ref="AD14:AD17" si="10">INDEX($V$4:$Y$44,MATCH($AC14,$AA$4:$AA$44,0),MATCH(AD$3,$V$3:$Y$3,0))</f>
        <v>Dino Egg</v>
      </c>
      <c r="AE14" s="12">
        <f t="shared" si="9"/>
        <v>2659.58</v>
      </c>
      <c r="AF14" s="2">
        <f t="shared" si="9"/>
        <v>-1241.8699999999999</v>
      </c>
    </row>
    <row r="15" spans="2:32" x14ac:dyDescent="0.35">
      <c r="B15" s="9" t="s">
        <v>104</v>
      </c>
      <c r="C15">
        <f>IF(CurMonth=1,C13,C11)</f>
        <v>2021</v>
      </c>
      <c r="I15">
        <v>12</v>
      </c>
      <c r="J15" t="s">
        <v>102</v>
      </c>
      <c r="K15" s="11">
        <f>SUMIFS(Data[[Revenue]:[Revenue]],Data[[Region]:[Region]],Region,Data[[Month]:[Month]],'Data Prep'!$I15,Data[[Year]:[Year]],'Data Prep'!K$3)</f>
        <v>61614.720000000001</v>
      </c>
      <c r="L15" s="11" t="e">
        <f>IF(I15&gt;$C$12,NA(),SUMIFS(Data[[Revenue]:[Revenue]],Data[[Region]:[Region]],Region,Data[[Month]:[Month]],'Data Prep'!$I15,Data[[Year]:[Year]],'Data Prep'!L$3))</f>
        <v>#N/A</v>
      </c>
      <c r="V15" s="8" t="s">
        <v>15</v>
      </c>
      <c r="W15" s="12">
        <f>SUMIFS(Data[Revenue],Data[Region],Region,Data[Year],CurYear,Data[Month],CurMonth,Data[Product Name],'Data Prep'!V15)</f>
        <v>4918.7700000000004</v>
      </c>
      <c r="X15" s="12">
        <f>SUMIFS(Data[Revenue],Data[Region],Region,Data[Year],PMYEAR,Data[Month],PMonth,Data[Product Name],'Data Prep'!V15)</f>
        <v>4518.87</v>
      </c>
      <c r="Y15" s="2">
        <f t="shared" si="5"/>
        <v>399.90000000000055</v>
      </c>
      <c r="Z15">
        <f t="shared" si="6"/>
        <v>9</v>
      </c>
      <c r="AA15">
        <f t="shared" si="7"/>
        <v>33</v>
      </c>
      <c r="AC15">
        <v>3</v>
      </c>
      <c r="AD15" t="str">
        <f t="shared" si="10"/>
        <v>Animal Figures</v>
      </c>
      <c r="AE15" s="12">
        <f t="shared" si="9"/>
        <v>1675.71</v>
      </c>
      <c r="AF15" s="2">
        <f t="shared" si="9"/>
        <v>-1130.1300000000001</v>
      </c>
    </row>
    <row r="16" spans="2:32" x14ac:dyDescent="0.35">
      <c r="B16" s="9" t="s">
        <v>129</v>
      </c>
      <c r="C16" s="27" t="str">
        <f>VLOOKUP(CurMonth,B20:C32,2,0)&amp;", "&amp;CurYear</f>
        <v>September, 2021</v>
      </c>
      <c r="V16" s="7" t="s">
        <v>71</v>
      </c>
      <c r="W16" s="12">
        <f>SUMIFS(Data[Revenue],Data[Region],Region,Data[Year],CurYear,Data[Month],CurMonth,Data[Product Name],'Data Prep'!V16)</f>
        <v>0</v>
      </c>
      <c r="X16" s="12">
        <f>SUMIFS(Data[Revenue],Data[Region],Region,Data[Year],PMYEAR,Data[Month],PMonth,Data[Product Name],'Data Prep'!V16)</f>
        <v>0</v>
      </c>
      <c r="Y16" s="2">
        <f t="shared" si="5"/>
        <v>0</v>
      </c>
      <c r="Z16">
        <f t="shared" si="6"/>
        <v>23.5</v>
      </c>
      <c r="AA16">
        <f t="shared" si="7"/>
        <v>18.5</v>
      </c>
      <c r="AC16">
        <v>4</v>
      </c>
      <c r="AD16" t="str">
        <f t="shared" si="10"/>
        <v>Dart Gun</v>
      </c>
      <c r="AE16" s="12">
        <f t="shared" si="9"/>
        <v>575.64</v>
      </c>
      <c r="AF16" s="2">
        <f t="shared" si="9"/>
        <v>-687.57</v>
      </c>
    </row>
    <row r="17" spans="2:32" x14ac:dyDescent="0.35">
      <c r="V17" s="8" t="s">
        <v>19</v>
      </c>
      <c r="W17" s="12">
        <f>SUMIFS(Data[Revenue],Data[Region],Region,Data[Year],CurYear,Data[Month],CurMonth,Data[Product Name],'Data Prep'!V17)</f>
        <v>179.91</v>
      </c>
      <c r="X17" s="12">
        <f>SUMIFS(Data[Revenue],Data[Region],Region,Data[Year],PMYEAR,Data[Month],PMonth,Data[Product Name],'Data Prep'!V17)</f>
        <v>359.82</v>
      </c>
      <c r="Y17" s="2">
        <f t="shared" si="5"/>
        <v>-179.91</v>
      </c>
      <c r="Z17">
        <f t="shared" si="6"/>
        <v>31</v>
      </c>
      <c r="AA17">
        <f t="shared" si="7"/>
        <v>11</v>
      </c>
      <c r="AC17">
        <v>5</v>
      </c>
      <c r="AD17" t="str">
        <f t="shared" si="10"/>
        <v>Supersoaker Water Gun</v>
      </c>
      <c r="AE17" s="12">
        <f t="shared" si="9"/>
        <v>0</v>
      </c>
      <c r="AF17" s="2">
        <f t="shared" si="9"/>
        <v>-539.64</v>
      </c>
    </row>
    <row r="18" spans="2:32" x14ac:dyDescent="0.35">
      <c r="V18" s="7" t="s">
        <v>27</v>
      </c>
      <c r="W18" s="12">
        <f>SUMIFS(Data[Revenue],Data[Region],Region,Data[Year],CurYear,Data[Month],CurMonth,Data[Product Name],'Data Prep'!V18)</f>
        <v>741.5200000000001</v>
      </c>
      <c r="X18" s="12">
        <f>SUMIFS(Data[Revenue],Data[Region],Region,Data[Year],PMYEAR,Data[Month],PMonth,Data[Product Name],'Data Prep'!V18)</f>
        <v>986.7</v>
      </c>
      <c r="Y18" s="2">
        <f t="shared" si="5"/>
        <v>-245.17999999999995</v>
      </c>
      <c r="Z18">
        <f t="shared" si="6"/>
        <v>32</v>
      </c>
      <c r="AA18">
        <f t="shared" si="7"/>
        <v>10</v>
      </c>
    </row>
    <row r="19" spans="2:32" x14ac:dyDescent="0.35">
      <c r="V19" s="8" t="s">
        <v>11</v>
      </c>
      <c r="W19" s="12">
        <f>SUMIFS(Data[Revenue],Data[Region],Region,Data[Year],CurYear,Data[Month],CurMonth,Data[Product Name],'Data Prep'!V19)</f>
        <v>469.06</v>
      </c>
      <c r="X19" s="12">
        <f>SUMIFS(Data[Revenue],Data[Region],Region,Data[Year],PMYEAR,Data[Month],PMonth,Data[Product Name],'Data Prep'!V19)</f>
        <v>29.940000000000005</v>
      </c>
      <c r="Y19" s="2">
        <f t="shared" si="5"/>
        <v>439.12</v>
      </c>
      <c r="Z19">
        <f t="shared" si="6"/>
        <v>8</v>
      </c>
      <c r="AA19">
        <f t="shared" si="7"/>
        <v>34</v>
      </c>
    </row>
    <row r="20" spans="2:32" x14ac:dyDescent="0.35">
      <c r="B20" s="9" t="s">
        <v>128</v>
      </c>
      <c r="C20" s="9" t="s">
        <v>90</v>
      </c>
      <c r="V20" s="7" t="s">
        <v>26</v>
      </c>
      <c r="W20" s="12">
        <f>SUMIFS(Data[Revenue],Data[Region],Region,Data[Year],CurYear,Data[Month],CurMonth,Data[Product Name],'Data Prep'!V20)</f>
        <v>1479.2599999999998</v>
      </c>
      <c r="X20" s="12">
        <f>SUMIFS(Data[Revenue],Data[Region],Region,Data[Year],PMYEAR,Data[Month],PMonth,Data[Product Name],'Data Prep'!V20)</f>
        <v>4077.9599999999996</v>
      </c>
      <c r="Y20" s="2">
        <f t="shared" si="5"/>
        <v>-2598.6999999999998</v>
      </c>
      <c r="Z20">
        <f t="shared" si="6"/>
        <v>41</v>
      </c>
      <c r="AA20">
        <f t="shared" si="7"/>
        <v>1</v>
      </c>
    </row>
    <row r="21" spans="2:32" x14ac:dyDescent="0.35">
      <c r="B21">
        <v>1</v>
      </c>
      <c r="C21" s="9" t="s">
        <v>117</v>
      </c>
      <c r="V21" s="8" t="s">
        <v>6</v>
      </c>
      <c r="W21" s="12">
        <f>SUMIFS(Data[Revenue],Data[Region],Region,Data[Year],CurYear,Data[Month],CurMonth,Data[Product Name],'Data Prep'!V21)</f>
        <v>836.07</v>
      </c>
      <c r="X21" s="12">
        <f>SUMIFS(Data[Revenue],Data[Region],Region,Data[Year],PMYEAR,Data[Month],PMonth,Data[Product Name],'Data Prep'!V21)</f>
        <v>395.56</v>
      </c>
      <c r="Y21" s="2">
        <f t="shared" si="5"/>
        <v>440.51000000000005</v>
      </c>
      <c r="Z21">
        <f t="shared" si="6"/>
        <v>7</v>
      </c>
      <c r="AA21">
        <f t="shared" si="7"/>
        <v>35</v>
      </c>
    </row>
    <row r="22" spans="2:32" x14ac:dyDescent="0.35">
      <c r="B22">
        <v>2</v>
      </c>
      <c r="C22" s="9" t="s">
        <v>118</v>
      </c>
      <c r="V22" s="7" t="s">
        <v>16</v>
      </c>
      <c r="W22" s="12">
        <f>SUMIFS(Data[Revenue],Data[Region],Region,Data[Year],CurYear,Data[Month],CurMonth,Data[Product Name],'Data Prep'!V22)</f>
        <v>194.85</v>
      </c>
      <c r="X22" s="12">
        <f>SUMIFS(Data[Revenue],Data[Region],Region,Data[Year],PMYEAR,Data[Month],PMonth,Data[Product Name],'Data Prep'!V22)</f>
        <v>142.88999999999999</v>
      </c>
      <c r="Y22" s="2">
        <f t="shared" si="5"/>
        <v>51.960000000000008</v>
      </c>
      <c r="Z22">
        <f t="shared" si="6"/>
        <v>19</v>
      </c>
      <c r="AA22">
        <f t="shared" si="7"/>
        <v>23</v>
      </c>
    </row>
    <row r="23" spans="2:32" x14ac:dyDescent="0.35">
      <c r="B23">
        <v>3</v>
      </c>
      <c r="C23" s="9" t="s">
        <v>119</v>
      </c>
      <c r="V23" s="8" t="s">
        <v>23</v>
      </c>
      <c r="W23" s="12">
        <f>SUMIFS(Data[Revenue],Data[Region],Region,Data[Year],CurYear,Data[Month],CurMonth,Data[Product Name],'Data Prep'!V23)</f>
        <v>1533.4099999999999</v>
      </c>
      <c r="X23" s="12">
        <f>SUMIFS(Data[Revenue],Data[Region],Region,Data[Year],PMYEAR,Data[Month],PMonth,Data[Product Name],'Data Prep'!V23)</f>
        <v>0</v>
      </c>
      <c r="Y23" s="2">
        <f t="shared" si="5"/>
        <v>1533.4099999999999</v>
      </c>
      <c r="Z23">
        <f t="shared" si="6"/>
        <v>3</v>
      </c>
      <c r="AA23">
        <f t="shared" si="7"/>
        <v>39</v>
      </c>
    </row>
    <row r="24" spans="2:32" x14ac:dyDescent="0.35">
      <c r="B24">
        <v>4</v>
      </c>
      <c r="C24" s="9" t="s">
        <v>120</v>
      </c>
      <c r="V24" s="7" t="s">
        <v>10</v>
      </c>
      <c r="W24" s="12">
        <f>SUMIFS(Data[Revenue],Data[Region],Region,Data[Year],CurYear,Data[Month],CurMonth,Data[Product Name],'Data Prep'!V24)</f>
        <v>2018.9899999999998</v>
      </c>
      <c r="X24" s="12">
        <f>SUMIFS(Data[Revenue],Data[Region],Region,Data[Year],PMYEAR,Data[Month],PMonth,Data[Product Name],'Data Prep'!V24)</f>
        <v>2498.7499999999995</v>
      </c>
      <c r="Y24" s="2">
        <f t="shared" si="5"/>
        <v>-479.75999999999976</v>
      </c>
      <c r="Z24">
        <f t="shared" si="6"/>
        <v>36</v>
      </c>
      <c r="AA24">
        <f t="shared" si="7"/>
        <v>6</v>
      </c>
    </row>
    <row r="25" spans="2:32" x14ac:dyDescent="0.35">
      <c r="B25">
        <v>5</v>
      </c>
      <c r="C25" s="9" t="s">
        <v>95</v>
      </c>
      <c r="V25" s="7" t="s">
        <v>66</v>
      </c>
      <c r="W25" s="12">
        <f>SUMIFS(Data[Revenue],Data[Region],Region,Data[Year],CurYear,Data[Month],CurMonth,Data[Product Name],'Data Prep'!V25)</f>
        <v>0</v>
      </c>
      <c r="X25" s="12">
        <f>SUMIFS(Data[Revenue],Data[Region],Region,Data[Year],PMYEAR,Data[Month],PMonth,Data[Product Name],'Data Prep'!V25)</f>
        <v>0</v>
      </c>
      <c r="Y25" s="2">
        <f t="shared" si="5"/>
        <v>0</v>
      </c>
      <c r="Z25">
        <f t="shared" si="6"/>
        <v>23.5</v>
      </c>
      <c r="AA25">
        <f t="shared" si="7"/>
        <v>18.5</v>
      </c>
    </row>
    <row r="26" spans="2:32" x14ac:dyDescent="0.35">
      <c r="B26">
        <v>6</v>
      </c>
      <c r="C26" s="9" t="s">
        <v>121</v>
      </c>
      <c r="V26" s="8" t="s">
        <v>29</v>
      </c>
      <c r="W26" s="12">
        <f>SUMIFS(Data[Revenue],Data[Region],Region,Data[Year],CurYear,Data[Month],CurMonth,Data[Product Name],'Data Prep'!V26)</f>
        <v>0</v>
      </c>
      <c r="X26" s="12">
        <f>SUMIFS(Data[Revenue],Data[Region],Region,Data[Year],PMYEAR,Data[Month],PMonth,Data[Product Name],'Data Prep'!V26)</f>
        <v>0</v>
      </c>
      <c r="Y26" s="2">
        <f t="shared" si="5"/>
        <v>0</v>
      </c>
      <c r="Z26">
        <f t="shared" si="6"/>
        <v>23.5</v>
      </c>
      <c r="AA26">
        <f t="shared" si="7"/>
        <v>18.5</v>
      </c>
    </row>
    <row r="27" spans="2:32" x14ac:dyDescent="0.35">
      <c r="B27">
        <v>7</v>
      </c>
      <c r="C27" s="9" t="s">
        <v>122</v>
      </c>
      <c r="V27" s="7" t="s">
        <v>34</v>
      </c>
      <c r="W27" s="12">
        <f>SUMIFS(Data[Revenue],Data[Region],Region,Data[Year],CurYear,Data[Month],CurMonth,Data[Product Name],'Data Prep'!V27)</f>
        <v>1049.3700000000001</v>
      </c>
      <c r="X27" s="12">
        <f>SUMIFS(Data[Revenue],Data[Region],Region,Data[Year],PMYEAR,Data[Month],PMonth,Data[Product Name],'Data Prep'!V27)</f>
        <v>957.6</v>
      </c>
      <c r="Y27" s="2">
        <f t="shared" si="5"/>
        <v>91.770000000000095</v>
      </c>
      <c r="Z27">
        <f t="shared" si="6"/>
        <v>16</v>
      </c>
      <c r="AA27">
        <f t="shared" si="7"/>
        <v>26</v>
      </c>
    </row>
    <row r="28" spans="2:32" x14ac:dyDescent="0.35">
      <c r="B28">
        <v>8</v>
      </c>
      <c r="C28" s="9" t="s">
        <v>123</v>
      </c>
      <c r="V28" s="8" t="s">
        <v>70</v>
      </c>
      <c r="W28" s="12">
        <f>SUMIFS(Data[Revenue],Data[Region],Region,Data[Year],CurYear,Data[Month],CurMonth,Data[Product Name],'Data Prep'!V28)</f>
        <v>0</v>
      </c>
      <c r="X28" s="12">
        <f>SUMIFS(Data[Revenue],Data[Region],Region,Data[Year],PMYEAR,Data[Month],PMonth,Data[Product Name],'Data Prep'!V28)</f>
        <v>0</v>
      </c>
      <c r="Y28" s="2">
        <f t="shared" si="5"/>
        <v>0</v>
      </c>
      <c r="Z28">
        <f t="shared" si="6"/>
        <v>23.5</v>
      </c>
      <c r="AA28">
        <f t="shared" si="7"/>
        <v>18.5</v>
      </c>
    </row>
    <row r="29" spans="2:32" x14ac:dyDescent="0.35">
      <c r="B29">
        <v>9</v>
      </c>
      <c r="C29" s="9" t="s">
        <v>124</v>
      </c>
      <c r="V29" s="7" t="s">
        <v>67</v>
      </c>
      <c r="W29" s="12">
        <f>SUMIFS(Data[Revenue],Data[Region],Region,Data[Year],CurYear,Data[Month],CurMonth,Data[Product Name],'Data Prep'!V29)</f>
        <v>0</v>
      </c>
      <c r="X29" s="12">
        <f>SUMIFS(Data[Revenue],Data[Region],Region,Data[Year],PMYEAR,Data[Month],PMonth,Data[Product Name],'Data Prep'!V29)</f>
        <v>0</v>
      </c>
      <c r="Y29" s="2">
        <f t="shared" si="5"/>
        <v>0</v>
      </c>
      <c r="Z29">
        <f t="shared" si="6"/>
        <v>23.5</v>
      </c>
      <c r="AA29">
        <f t="shared" si="7"/>
        <v>18.5</v>
      </c>
    </row>
    <row r="30" spans="2:32" x14ac:dyDescent="0.35">
      <c r="B30">
        <v>10</v>
      </c>
      <c r="C30" s="9" t="s">
        <v>125</v>
      </c>
      <c r="V30" s="7" t="s">
        <v>37</v>
      </c>
      <c r="W30" s="12">
        <f>SUMIFS(Data[Revenue],Data[Region],Region,Data[Year],CurYear,Data[Month],CurMonth,Data[Product Name],'Data Prep'!V30)</f>
        <v>174.92999999999998</v>
      </c>
      <c r="X30" s="12">
        <f>SUMIFS(Data[Revenue],Data[Region],Region,Data[Year],PMYEAR,Data[Month],PMonth,Data[Product Name],'Data Prep'!V30)</f>
        <v>574.77</v>
      </c>
      <c r="Y30" s="2">
        <f t="shared" si="5"/>
        <v>-399.84000000000003</v>
      </c>
      <c r="Z30">
        <f t="shared" si="6"/>
        <v>34</v>
      </c>
      <c r="AA30">
        <f t="shared" si="7"/>
        <v>8</v>
      </c>
    </row>
    <row r="31" spans="2:32" x14ac:dyDescent="0.35">
      <c r="B31">
        <v>11</v>
      </c>
      <c r="C31" s="9" t="s">
        <v>126</v>
      </c>
      <c r="V31" s="7" t="s">
        <v>38</v>
      </c>
      <c r="W31" s="12">
        <f>SUMIFS(Data[Revenue],Data[Region],Region,Data[Year],CurYear,Data[Month],CurMonth,Data[Product Name],'Data Prep'!V31)</f>
        <v>0</v>
      </c>
      <c r="X31" s="12">
        <f>SUMIFS(Data[Revenue],Data[Region],Region,Data[Year],PMYEAR,Data[Month],PMonth,Data[Product Name],'Data Prep'!V31)</f>
        <v>179.82</v>
      </c>
      <c r="Y31" s="2">
        <f t="shared" si="5"/>
        <v>-179.82</v>
      </c>
      <c r="Z31">
        <f t="shared" si="6"/>
        <v>29.5</v>
      </c>
      <c r="AA31">
        <f t="shared" si="7"/>
        <v>12.5</v>
      </c>
    </row>
    <row r="32" spans="2:32" x14ac:dyDescent="0.35">
      <c r="B32">
        <v>12</v>
      </c>
      <c r="C32" s="9" t="s">
        <v>127</v>
      </c>
      <c r="V32" s="8" t="s">
        <v>39</v>
      </c>
      <c r="W32" s="12">
        <f>SUMIFS(Data[Revenue],Data[Region],Region,Data[Year],CurYear,Data[Month],CurMonth,Data[Product Name],'Data Prep'!V32)</f>
        <v>379.80999999999995</v>
      </c>
      <c r="X32" s="12">
        <f>SUMIFS(Data[Revenue],Data[Region],Region,Data[Year],PMYEAR,Data[Month],PMonth,Data[Product Name],'Data Prep'!V32)</f>
        <v>799.59999999999991</v>
      </c>
      <c r="Y32" s="2">
        <f t="shared" si="5"/>
        <v>-419.78999999999996</v>
      </c>
      <c r="Z32">
        <f t="shared" si="6"/>
        <v>35</v>
      </c>
      <c r="AA32">
        <f t="shared" si="7"/>
        <v>7</v>
      </c>
    </row>
    <row r="33" spans="22:27" x14ac:dyDescent="0.35">
      <c r="V33" s="8" t="s">
        <v>68</v>
      </c>
      <c r="W33" s="12">
        <f>SUMIFS(Data[Revenue],Data[Region],Region,Data[Year],CurYear,Data[Month],CurMonth,Data[Product Name],'Data Prep'!V33)</f>
        <v>0</v>
      </c>
      <c r="X33" s="12">
        <f>SUMIFS(Data[Revenue],Data[Region],Region,Data[Year],PMYEAR,Data[Month],PMonth,Data[Product Name],'Data Prep'!V33)</f>
        <v>0</v>
      </c>
      <c r="Y33" s="2">
        <f t="shared" si="5"/>
        <v>0</v>
      </c>
      <c r="Z33">
        <f t="shared" si="6"/>
        <v>23.5</v>
      </c>
      <c r="AA33">
        <f t="shared" si="7"/>
        <v>18.5</v>
      </c>
    </row>
    <row r="34" spans="22:27" x14ac:dyDescent="0.35">
      <c r="V34" s="8" t="s">
        <v>42</v>
      </c>
      <c r="W34" s="12">
        <f>SUMIFS(Data[Revenue],Data[Region],Region,Data[Year],CurYear,Data[Month],CurMonth,Data[Product Name],'Data Prep'!V34)</f>
        <v>6523.92</v>
      </c>
      <c r="X34" s="12">
        <f>SUMIFS(Data[Revenue],Data[Region],Region,Data[Year],PMYEAR,Data[Month],PMonth,Data[Product Name],'Data Prep'!V34)</f>
        <v>3229.9799999999996</v>
      </c>
      <c r="Y34" s="2">
        <f t="shared" si="5"/>
        <v>3293.9400000000005</v>
      </c>
      <c r="Z34">
        <f t="shared" si="6"/>
        <v>1</v>
      </c>
      <c r="AA34">
        <f t="shared" si="7"/>
        <v>41</v>
      </c>
    </row>
    <row r="35" spans="22:27" x14ac:dyDescent="0.35">
      <c r="V35" s="7" t="s">
        <v>41</v>
      </c>
      <c r="W35" s="12">
        <f>SUMIFS(Data[Revenue],Data[Region],Region,Data[Year],CurYear,Data[Month],CurMonth,Data[Product Name],'Data Prep'!V35)</f>
        <v>259.74</v>
      </c>
      <c r="X35" s="12">
        <f>SUMIFS(Data[Revenue],Data[Region],Region,Data[Year],PMYEAR,Data[Month],PMonth,Data[Product Name],'Data Prep'!V35)</f>
        <v>439.56</v>
      </c>
      <c r="Y35" s="2">
        <f t="shared" si="5"/>
        <v>-179.82</v>
      </c>
      <c r="Z35">
        <f t="shared" si="6"/>
        <v>29.5</v>
      </c>
      <c r="AA35">
        <f t="shared" si="7"/>
        <v>12.5</v>
      </c>
    </row>
    <row r="36" spans="22:27" x14ac:dyDescent="0.35">
      <c r="V36" s="8" t="s">
        <v>43</v>
      </c>
      <c r="W36" s="12">
        <f>SUMIFS(Data[Revenue],Data[Region],Region,Data[Year],CurYear,Data[Month],CurMonth,Data[Product Name],'Data Prep'!V36)</f>
        <v>503.76</v>
      </c>
      <c r="X36" s="12">
        <f>SUMIFS(Data[Revenue],Data[Region],Region,Data[Year],PMYEAR,Data[Month],PMonth,Data[Product Name],'Data Prep'!V36)</f>
        <v>902.56999999999994</v>
      </c>
      <c r="Y36" s="2">
        <f t="shared" si="5"/>
        <v>-398.80999999999995</v>
      </c>
      <c r="Z36">
        <f t="shared" si="6"/>
        <v>33</v>
      </c>
      <c r="AA36">
        <f t="shared" si="7"/>
        <v>9</v>
      </c>
    </row>
    <row r="37" spans="22:27" x14ac:dyDescent="0.35">
      <c r="V37" s="8" t="s">
        <v>69</v>
      </c>
      <c r="W37" s="12">
        <f>SUMIFS(Data[Revenue],Data[Region],Region,Data[Year],CurYear,Data[Month],CurMonth,Data[Product Name],'Data Prep'!V37)</f>
        <v>0</v>
      </c>
      <c r="X37" s="12">
        <f>SUMIFS(Data[Revenue],Data[Region],Region,Data[Year],PMYEAR,Data[Month],PMonth,Data[Product Name],'Data Prep'!V37)</f>
        <v>0</v>
      </c>
      <c r="Y37" s="2">
        <f t="shared" si="5"/>
        <v>0</v>
      </c>
      <c r="Z37">
        <f t="shared" si="6"/>
        <v>23.5</v>
      </c>
      <c r="AA37">
        <f t="shared" si="7"/>
        <v>18.5</v>
      </c>
    </row>
    <row r="38" spans="22:27" x14ac:dyDescent="0.35">
      <c r="V38" s="7" t="s">
        <v>44</v>
      </c>
      <c r="W38" s="12">
        <f>SUMIFS(Data[Revenue],Data[Region],Region,Data[Year],CurYear,Data[Month],CurMonth,Data[Product Name],'Data Prep'!V38)</f>
        <v>1234.97</v>
      </c>
      <c r="X38" s="12">
        <f>SUMIFS(Data[Revenue],Data[Region],Region,Data[Year],PMYEAR,Data[Month],PMonth,Data[Product Name],'Data Prep'!V38)</f>
        <v>1055.1199999999999</v>
      </c>
      <c r="Y38" s="2">
        <f t="shared" si="5"/>
        <v>179.85000000000014</v>
      </c>
      <c r="Z38">
        <f t="shared" si="6"/>
        <v>14</v>
      </c>
      <c r="AA38">
        <f t="shared" si="7"/>
        <v>28</v>
      </c>
    </row>
    <row r="39" spans="22:27" x14ac:dyDescent="0.35">
      <c r="V39" s="8" t="s">
        <v>40</v>
      </c>
      <c r="W39" s="12">
        <f>SUMIFS(Data[Revenue],Data[Region],Region,Data[Year],CurYear,Data[Month],CurMonth,Data[Product Name],'Data Prep'!V39)</f>
        <v>524.75</v>
      </c>
      <c r="X39" s="12">
        <f>SUMIFS(Data[Revenue],Data[Region],Region,Data[Year],PMYEAR,Data[Month],PMonth,Data[Product Name],'Data Prep'!V39)</f>
        <v>440.78999999999996</v>
      </c>
      <c r="Y39" s="2">
        <f t="shared" si="5"/>
        <v>83.960000000000036</v>
      </c>
      <c r="Z39">
        <f t="shared" si="6"/>
        <v>18</v>
      </c>
      <c r="AA39">
        <f t="shared" si="7"/>
        <v>24</v>
      </c>
    </row>
    <row r="40" spans="22:27" x14ac:dyDescent="0.35">
      <c r="V40" s="7" t="s">
        <v>22</v>
      </c>
      <c r="W40" s="12">
        <f>SUMIFS(Data[Revenue],Data[Region],Region,Data[Year],CurYear,Data[Month],CurMonth,Data[Product Name],'Data Prep'!V40)</f>
        <v>739.2600000000001</v>
      </c>
      <c r="X40" s="12">
        <f>SUMIFS(Data[Revenue],Data[Region],Region,Data[Year],PMYEAR,Data[Month],PMonth,Data[Product Name],'Data Prep'!V40)</f>
        <v>229.76999999999998</v>
      </c>
      <c r="Y40" s="2">
        <f t="shared" si="5"/>
        <v>509.49000000000012</v>
      </c>
      <c r="Z40">
        <f t="shared" si="6"/>
        <v>6</v>
      </c>
      <c r="AA40">
        <f t="shared" si="7"/>
        <v>36</v>
      </c>
    </row>
    <row r="41" spans="22:27" x14ac:dyDescent="0.35">
      <c r="V41" s="8" t="s">
        <v>45</v>
      </c>
      <c r="W41" s="12">
        <f>SUMIFS(Data[Revenue],Data[Region],Region,Data[Year],CurYear,Data[Month],CurMonth,Data[Product Name],'Data Prep'!V41)</f>
        <v>2274.9300000000003</v>
      </c>
      <c r="X41" s="12">
        <f>SUMIFS(Data[Revenue],Data[Region],Region,Data[Year],PMYEAR,Data[Month],PMonth,Data[Product Name],'Data Prep'!V41)</f>
        <v>186.83</v>
      </c>
      <c r="Y41" s="2">
        <f t="shared" si="5"/>
        <v>2088.1000000000004</v>
      </c>
      <c r="Z41">
        <f t="shared" si="6"/>
        <v>2</v>
      </c>
      <c r="AA41">
        <f t="shared" si="7"/>
        <v>40</v>
      </c>
    </row>
    <row r="42" spans="22:27" x14ac:dyDescent="0.35">
      <c r="V42" s="8" t="s">
        <v>36</v>
      </c>
      <c r="W42" s="12">
        <f>SUMIFS(Data[Revenue],Data[Region],Region,Data[Year],CurYear,Data[Month],CurMonth,Data[Product Name],'Data Prep'!V42)</f>
        <v>0</v>
      </c>
      <c r="X42" s="12">
        <f>SUMIFS(Data[Revenue],Data[Region],Region,Data[Year],PMYEAR,Data[Month],PMonth,Data[Product Name],'Data Prep'!V42)</f>
        <v>539.64</v>
      </c>
      <c r="Y42" s="2">
        <f t="shared" si="5"/>
        <v>-539.64</v>
      </c>
      <c r="Z42">
        <f t="shared" si="6"/>
        <v>37</v>
      </c>
      <c r="AA42">
        <f t="shared" si="7"/>
        <v>5</v>
      </c>
    </row>
    <row r="43" spans="22:27" x14ac:dyDescent="0.35">
      <c r="V43" s="8" t="s">
        <v>35</v>
      </c>
      <c r="W43" s="12">
        <f>SUMIFS(Data[Revenue],Data[Region],Region,Data[Year],CurYear,Data[Month],CurMonth,Data[Product Name],'Data Prep'!V43)</f>
        <v>371.38000000000005</v>
      </c>
      <c r="X43" s="12">
        <f>SUMIFS(Data[Revenue],Data[Region],Region,Data[Year],PMYEAR,Data[Month],PMonth,Data[Product Name],'Data Prep'!V43)</f>
        <v>179.70000000000002</v>
      </c>
      <c r="Y43" s="2">
        <f t="shared" si="5"/>
        <v>191.68000000000004</v>
      </c>
      <c r="Z43">
        <f t="shared" si="6"/>
        <v>13</v>
      </c>
      <c r="AA43">
        <f t="shared" si="7"/>
        <v>29</v>
      </c>
    </row>
    <row r="44" spans="22:27" x14ac:dyDescent="0.35">
      <c r="V44" s="7" t="s">
        <v>33</v>
      </c>
      <c r="W44" s="12">
        <f>SUMIFS(Data[Revenue],Data[Region],Region,Data[Year],CurYear,Data[Month],CurMonth,Data[Product Name],'Data Prep'!V44)</f>
        <v>0</v>
      </c>
      <c r="X44" s="12">
        <f>SUMIFS(Data[Revenue],Data[Region],Region,Data[Year],PMYEAR,Data[Month],PMonth,Data[Product Name],'Data Prep'!V44)</f>
        <v>0</v>
      </c>
      <c r="Y44" s="2">
        <f t="shared" si="5"/>
        <v>0</v>
      </c>
      <c r="Z44">
        <f t="shared" si="6"/>
        <v>23.5</v>
      </c>
      <c r="AA44">
        <f t="shared" si="7"/>
        <v>18.5</v>
      </c>
    </row>
  </sheetData>
  <mergeCells count="8">
    <mergeCell ref="AC2:AF2"/>
    <mergeCell ref="AC11:AF11"/>
    <mergeCell ref="N2:R2"/>
    <mergeCell ref="V2:Y2"/>
    <mergeCell ref="B4:C4"/>
    <mergeCell ref="B10:C10"/>
    <mergeCell ref="E4:F4"/>
    <mergeCell ref="I2:L2"/>
  </mergeCells>
  <phoneticPr fontId="2" type="noConversion"/>
  <conditionalFormatting sqref="F8:F9">
    <cfRule type="cellIs" dxfId="1" priority="2" operator="greaterThan">
      <formula>0</formula>
    </cfRule>
  </conditionalFormatting>
  <conditionalFormatting sqref="F8:F9">
    <cfRule type="cellIs" dxfId="0" priority="1" operator="lessThan">
      <formula>0</formula>
    </cfRule>
  </conditionalFormatting>
  <dataValidations count="1">
    <dataValidation type="list" allowBlank="1" showInputMessage="1" showErrorMessage="1" sqref="C6" xr:uid="{01E28ED4-BE5B-4FBA-8992-CBFFE7181518}">
      <formula1>$B$6:$B$8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4CD-F793-4AD9-AA69-F8E7E6C98284}">
  <dimension ref="B5:Y27"/>
  <sheetViews>
    <sheetView showGridLines="0" showRowColHeaders="0" tabSelected="1" zoomScale="78" zoomScaleNormal="78" workbookViewId="0">
      <selection activeCell="C5" sqref="C5"/>
    </sheetView>
  </sheetViews>
  <sheetFormatPr defaultRowHeight="14.5" x14ac:dyDescent="0.35"/>
  <cols>
    <col min="2" max="2" width="21.6328125" bestFit="1" customWidth="1"/>
    <col min="3" max="3" width="21.08984375" bestFit="1" customWidth="1"/>
    <col min="5" max="5" width="31.453125" customWidth="1"/>
    <col min="6" max="6" width="6.90625" customWidth="1"/>
    <col min="7" max="7" width="11.453125" customWidth="1"/>
    <col min="13" max="13" width="7.54296875" customWidth="1"/>
    <col min="14" max="14" width="3.7265625" hidden="1" customWidth="1"/>
    <col min="15" max="15" width="8.7265625" hidden="1" customWidth="1"/>
    <col min="16" max="16" width="8.36328125" hidden="1" customWidth="1"/>
    <col min="17" max="17" width="8.7265625" hidden="1" customWidth="1"/>
    <col min="18" max="18" width="3.81640625" customWidth="1"/>
    <col min="19" max="19" width="4.453125" customWidth="1"/>
    <col min="20" max="20" width="15.6328125" bestFit="1" customWidth="1"/>
    <col min="21" max="21" width="16.08984375" bestFit="1" customWidth="1"/>
    <col min="22" max="22" width="10.90625" bestFit="1" customWidth="1"/>
    <col min="23" max="23" width="17.08984375" bestFit="1" customWidth="1"/>
    <col min="24" max="24" width="3.90625" customWidth="1"/>
  </cols>
  <sheetData>
    <row r="5" spans="2:25" ht="28.5" x14ac:dyDescent="0.65">
      <c r="B5" s="26" t="s">
        <v>116</v>
      </c>
      <c r="C5" s="30" t="s">
        <v>4</v>
      </c>
      <c r="D5" s="28" t="s">
        <v>130</v>
      </c>
      <c r="E5" s="29" t="str">
        <f>'Data Prep'!C16</f>
        <v>September, 2021</v>
      </c>
    </row>
    <row r="8" spans="2:25" ht="16.5" customHeight="1" x14ac:dyDescent="0.35"/>
    <row r="9" spans="2:25" x14ac:dyDescent="0.35">
      <c r="Y9" s="15"/>
    </row>
    <row r="10" spans="2:25" ht="18.5" x14ac:dyDescent="0.45">
      <c r="T10" s="16" t="s">
        <v>113</v>
      </c>
      <c r="U10" s="16" t="s">
        <v>112</v>
      </c>
      <c r="V10" s="16" t="s">
        <v>114</v>
      </c>
    </row>
    <row r="11" spans="2:25" ht="15.5" x14ac:dyDescent="0.35">
      <c r="T11" s="17" t="str">
        <f>'Data Prep'!AD4</f>
        <v>Magic Sand</v>
      </c>
      <c r="U11" s="19">
        <f>'Data Prep'!AE4</f>
        <v>6523.92</v>
      </c>
      <c r="V11" s="19">
        <f>'Data Prep'!AF4</f>
        <v>3293.9400000000005</v>
      </c>
    </row>
    <row r="12" spans="2:25" ht="15.5" x14ac:dyDescent="0.35">
      <c r="T12" s="17" t="str">
        <f>'Data Prep'!AD5</f>
        <v>Playfoam</v>
      </c>
      <c r="U12" s="19">
        <f>'Data Prep'!AE5</f>
        <v>2274.9300000000003</v>
      </c>
      <c r="V12" s="19">
        <f>'Data Prep'!AF5</f>
        <v>2088.1000000000004</v>
      </c>
    </row>
    <row r="13" spans="2:25" ht="15.5" x14ac:dyDescent="0.35">
      <c r="T13" s="17" t="str">
        <f>'Data Prep'!AD6</f>
        <v>Toy Robot</v>
      </c>
      <c r="U13" s="19">
        <f>'Data Prep'!AE6</f>
        <v>1533.4099999999999</v>
      </c>
      <c r="V13" s="19">
        <f>'Data Prep'!AF6</f>
        <v>1533.4099999999999</v>
      </c>
    </row>
    <row r="14" spans="2:25" ht="15.5" x14ac:dyDescent="0.35">
      <c r="T14" s="17" t="str">
        <f>'Data Prep'!AD7</f>
        <v>Glass Marbles</v>
      </c>
      <c r="U14" s="19">
        <f>'Data Prep'!AE7</f>
        <v>1329.79</v>
      </c>
      <c r="V14" s="19">
        <f>'Data Prep'!AF7</f>
        <v>615.44000000000005</v>
      </c>
    </row>
    <row r="15" spans="2:25" ht="15.5" x14ac:dyDescent="0.35">
      <c r="T15" s="17" t="str">
        <f>'Data Prep'!AD8</f>
        <v>Action Figure</v>
      </c>
      <c r="U15" s="19">
        <f>'Data Prep'!AE8</f>
        <v>1662.96</v>
      </c>
      <c r="V15" s="20">
        <f>'Data Prep'!AF8</f>
        <v>575.63999999999987</v>
      </c>
    </row>
    <row r="16" spans="2:25" ht="18.5" x14ac:dyDescent="0.45">
      <c r="V16" s="23">
        <f>SUM(V11:V15)</f>
        <v>8106.5300000000007</v>
      </c>
    </row>
    <row r="21" spans="20:22" ht="18.5" x14ac:dyDescent="0.45">
      <c r="T21" s="16" t="s">
        <v>113</v>
      </c>
      <c r="U21" s="16" t="s">
        <v>112</v>
      </c>
      <c r="V21" s="16" t="s">
        <v>114</v>
      </c>
    </row>
    <row r="22" spans="20:22" ht="15.5" x14ac:dyDescent="0.35">
      <c r="T22" s="17" t="str">
        <f>'Data Prep'!AD13</f>
        <v>Rubik's Cube</v>
      </c>
      <c r="U22" s="18">
        <f>'Data Prep'!AE13</f>
        <v>1479.2599999999998</v>
      </c>
      <c r="V22" s="18">
        <f>'Data Prep'!AF13</f>
        <v>-2598.6999999999998</v>
      </c>
    </row>
    <row r="23" spans="20:22" ht="15.5" x14ac:dyDescent="0.35">
      <c r="T23" s="17" t="str">
        <f>'Data Prep'!AD14</f>
        <v>Dino Egg</v>
      </c>
      <c r="U23" s="18">
        <f>'Data Prep'!AE14</f>
        <v>2659.58</v>
      </c>
      <c r="V23" s="18">
        <f>'Data Prep'!AF14</f>
        <v>-1241.8699999999999</v>
      </c>
    </row>
    <row r="24" spans="20:22" ht="15.5" x14ac:dyDescent="0.35">
      <c r="T24" s="17" t="str">
        <f>'Data Prep'!AD15</f>
        <v>Animal Figures</v>
      </c>
      <c r="U24" s="18">
        <f>'Data Prep'!AE15</f>
        <v>1675.71</v>
      </c>
      <c r="V24" s="18">
        <f>'Data Prep'!AF15</f>
        <v>-1130.1300000000001</v>
      </c>
    </row>
    <row r="25" spans="20:22" ht="15.5" x14ac:dyDescent="0.35">
      <c r="T25" s="17" t="str">
        <f>'Data Prep'!AD16</f>
        <v>Dart Gun</v>
      </c>
      <c r="U25" s="18">
        <f>'Data Prep'!AE16</f>
        <v>575.64</v>
      </c>
      <c r="V25" s="18">
        <f>'Data Prep'!AF16</f>
        <v>-687.57</v>
      </c>
    </row>
    <row r="26" spans="20:22" ht="15.5" x14ac:dyDescent="0.35">
      <c r="T26" s="17" t="str">
        <f>'Data Prep'!AD17</f>
        <v>Supersoaker Water Gun</v>
      </c>
      <c r="U26" s="18">
        <f>'Data Prep'!AE17</f>
        <v>0</v>
      </c>
      <c r="V26" s="21">
        <f>'Data Prep'!AF17</f>
        <v>-539.64</v>
      </c>
    </row>
    <row r="27" spans="20:22" ht="18.5" x14ac:dyDescent="0.45">
      <c r="V27" s="24">
        <f>SUM(V22:V26)</f>
        <v>-6197.91</v>
      </c>
    </row>
  </sheetData>
  <sheetProtection sheet="1" objects="1" scenarios="1" selectLockedCells="1"/>
  <conditionalFormatting sqref="V11:V15">
    <cfRule type="colorScale" priority="2">
      <colorScale>
        <cfvo type="min"/>
        <cfvo type="percentile" val="50"/>
        <cfvo type="max"/>
        <color theme="0"/>
        <color theme="9" tint="0.59999389629810485"/>
        <color theme="9" tint="0.39997558519241921"/>
      </colorScale>
    </cfRule>
  </conditionalFormatting>
  <conditionalFormatting sqref="V22:V26">
    <cfRule type="colorScale" priority="1">
      <colorScale>
        <cfvo type="min"/>
        <cfvo type="percentile" val="50"/>
        <cfvo type="max"/>
        <color rgb="FFF8696B"/>
        <color rgb="FFF98386"/>
        <color theme="0"/>
      </colorScale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FE8C39-B1EB-46E9-A291-15D3E6A3DA90}">
          <x14:formula1>
            <xm:f>'Data Prep'!$B$6:$B$8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1" workbookViewId="0">
      <selection sqref="A1:J269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31" workbookViewId="0">
      <selection activeCell="C42" sqref="A1:J260"/>
    </sheetView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PMonth</vt:lpstr>
      <vt:lpstr>PMYEAR</vt:lpstr>
      <vt:lpstr>PYear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User</cp:lastModifiedBy>
  <dcterms:created xsi:type="dcterms:W3CDTF">2021-07-16T18:17:37Z</dcterms:created>
  <dcterms:modified xsi:type="dcterms:W3CDTF">2024-10-02T19:41:28Z</dcterms:modified>
</cp:coreProperties>
</file>