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wang\Desktop\大學課業\三上\投資資產組合\Exercise 1\Github Excercise 1\"/>
    </mc:Choice>
  </mc:AlternateContent>
  <xr:revisionPtr revIDLastSave="0" documentId="13_ncr:1_{2C69AC99-4C05-422D-86DB-077B40C3144D}" xr6:coauthVersionLast="36" xr6:coauthVersionMax="36" xr10:uidLastSave="{00000000-0000-0000-0000-000000000000}"/>
  <bookViews>
    <workbookView xWindow="-105" yWindow="-105" windowWidth="23258" windowHeight="12458" xr2:uid="{0BE41817-AD8A-1448-9E6A-AD6E7085D950}"/>
  </bookViews>
  <sheets>
    <sheet name="Q1" sheetId="1" r:id="rId1"/>
    <sheet name="Q2" sheetId="2" r:id="rId2"/>
  </sheets>
  <definedNames>
    <definedName name="solver_adj" localSheetId="0" hidden="1">'Q1'!$K$72:$P$72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'Q1'!$Q$72</definedName>
    <definedName name="solver_lhs2" localSheetId="0" hidden="1">'Q1'!$Q$72</definedName>
    <definedName name="solver_lhs3" localSheetId="0" hidden="1">'Q1'!$Q$72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'Q1'!$J$89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0.211119833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8" i="1" l="1"/>
  <c r="B118" i="1"/>
  <c r="J89" i="1"/>
  <c r="AB5" i="2" l="1"/>
  <c r="AE7" i="2"/>
  <c r="T4" i="2"/>
  <c r="T3" i="2"/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4" i="1"/>
  <c r="J4" i="1"/>
  <c r="K4" i="1"/>
  <c r="L4" i="1"/>
  <c r="M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" i="1"/>
  <c r="L64" i="1" l="1"/>
  <c r="W46" i="2"/>
  <c r="W47" i="2"/>
  <c r="W45" i="2"/>
  <c r="W48" i="2"/>
  <c r="L2" i="2" l="1"/>
  <c r="L3" i="2"/>
  <c r="L4" i="2"/>
  <c r="L5" i="2"/>
  <c r="L6" i="2"/>
  <c r="L7" i="2"/>
  <c r="L8" i="2"/>
  <c r="N8" i="2" s="1"/>
  <c r="L9" i="2"/>
  <c r="N9" i="2" s="1"/>
  <c r="L10" i="2"/>
  <c r="N10" i="2" s="1"/>
  <c r="L11" i="2"/>
  <c r="N11" i="2" s="1"/>
  <c r="L12" i="2"/>
  <c r="L13" i="2"/>
  <c r="L14" i="2"/>
  <c r="N14" i="2" s="1"/>
  <c r="L15" i="2"/>
  <c r="N15" i="2" s="1"/>
  <c r="L16" i="2"/>
  <c r="N16" i="2" s="1"/>
  <c r="L17" i="2"/>
  <c r="N17" i="2" s="1"/>
  <c r="L18" i="2"/>
  <c r="L19" i="2"/>
  <c r="L20" i="2"/>
  <c r="L21" i="2"/>
  <c r="L22" i="2"/>
  <c r="L23" i="2"/>
  <c r="L24" i="2"/>
  <c r="N24" i="2" s="1"/>
  <c r="L25" i="2"/>
  <c r="N25" i="2" s="1"/>
  <c r="L26" i="2"/>
  <c r="N26" i="2" s="1"/>
  <c r="L27" i="2"/>
  <c r="N27" i="2" s="1"/>
  <c r="L28" i="2"/>
  <c r="L29" i="2"/>
  <c r="L30" i="2"/>
  <c r="N30" i="2" s="1"/>
  <c r="L31" i="2"/>
  <c r="N31" i="2" s="1"/>
  <c r="L32" i="2"/>
  <c r="N32" i="2" s="1"/>
  <c r="L33" i="2"/>
  <c r="N33" i="2" s="1"/>
  <c r="L34" i="2"/>
  <c r="L35" i="2"/>
  <c r="L36" i="2"/>
  <c r="L37" i="2"/>
  <c r="L38" i="2"/>
  <c r="L39" i="2"/>
  <c r="L40" i="2"/>
  <c r="N40" i="2" s="1"/>
  <c r="L41" i="2"/>
  <c r="N41" i="2" s="1"/>
  <c r="L42" i="2"/>
  <c r="N42" i="2" s="1"/>
  <c r="L43" i="2"/>
  <c r="N43" i="2" s="1"/>
  <c r="L44" i="2"/>
  <c r="L45" i="2"/>
  <c r="L46" i="2"/>
  <c r="N46" i="2" s="1"/>
  <c r="L47" i="2"/>
  <c r="N47" i="2" s="1"/>
  <c r="L48" i="2"/>
  <c r="N48" i="2" s="1"/>
  <c r="L49" i="2"/>
  <c r="N49" i="2" s="1"/>
  <c r="L50" i="2"/>
  <c r="L51" i="2"/>
  <c r="L52" i="2"/>
  <c r="L53" i="2"/>
  <c r="L54" i="2"/>
  <c r="L55" i="2"/>
  <c r="L56" i="2"/>
  <c r="N56" i="2" s="1"/>
  <c r="L57" i="2"/>
  <c r="N57" i="2" s="1"/>
  <c r="L58" i="2"/>
  <c r="N58" i="2" s="1"/>
  <c r="L59" i="2"/>
  <c r="N59" i="2" s="1"/>
  <c r="L60" i="2"/>
  <c r="L6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2" i="2"/>
  <c r="I2" i="2"/>
  <c r="J2" i="2"/>
  <c r="J63" i="2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3" i="2"/>
  <c r="G2" i="2"/>
  <c r="J132" i="1"/>
  <c r="J133" i="1"/>
  <c r="H132" i="1"/>
  <c r="H133" i="1"/>
  <c r="H130" i="1"/>
  <c r="F132" i="1"/>
  <c r="F133" i="1"/>
  <c r="J124" i="1"/>
  <c r="J125" i="1"/>
  <c r="J126" i="1"/>
  <c r="J127" i="1"/>
  <c r="J128" i="1"/>
  <c r="J129" i="1"/>
  <c r="J130" i="1"/>
  <c r="J131" i="1"/>
  <c r="J123" i="1"/>
  <c r="H123" i="1"/>
  <c r="H124" i="1"/>
  <c r="H125" i="1"/>
  <c r="H126" i="1"/>
  <c r="H127" i="1"/>
  <c r="H128" i="1"/>
  <c r="H129" i="1"/>
  <c r="H131" i="1"/>
  <c r="F123" i="1"/>
  <c r="F124" i="1"/>
  <c r="F125" i="1"/>
  <c r="F126" i="1"/>
  <c r="F127" i="1"/>
  <c r="F128" i="1"/>
  <c r="F129" i="1"/>
  <c r="F130" i="1"/>
  <c r="F131" i="1"/>
  <c r="I119" i="1"/>
  <c r="N61" i="2" l="1"/>
  <c r="N45" i="2"/>
  <c r="N29" i="2"/>
  <c r="N13" i="2"/>
  <c r="N60" i="2"/>
  <c r="N44" i="2"/>
  <c r="N28" i="2"/>
  <c r="N12" i="2"/>
  <c r="AE5" i="2"/>
  <c r="AB7" i="2" s="1"/>
  <c r="O51" i="2"/>
  <c r="P51" i="2"/>
  <c r="P48" i="2"/>
  <c r="O48" i="2"/>
  <c r="O3" i="2"/>
  <c r="P3" i="2"/>
  <c r="P46" i="2"/>
  <c r="O46" i="2"/>
  <c r="P30" i="2"/>
  <c r="O30" i="2"/>
  <c r="P14" i="2"/>
  <c r="O14" i="2"/>
  <c r="O17" i="2"/>
  <c r="P17" i="2"/>
  <c r="O45" i="2"/>
  <c r="P45" i="2"/>
  <c r="O12" i="2"/>
  <c r="P12" i="2"/>
  <c r="O58" i="2"/>
  <c r="P58" i="2"/>
  <c r="O57" i="2"/>
  <c r="P57" i="2"/>
  <c r="P41" i="2"/>
  <c r="O41" i="2"/>
  <c r="P25" i="2"/>
  <c r="O25" i="2"/>
  <c r="O9" i="2"/>
  <c r="P9" i="2"/>
  <c r="N55" i="2"/>
  <c r="N39" i="2"/>
  <c r="N23" i="2"/>
  <c r="N7" i="2"/>
  <c r="O18" i="2"/>
  <c r="P18" i="2"/>
  <c r="O16" i="2"/>
  <c r="P16" i="2"/>
  <c r="P31" i="2"/>
  <c r="O31" i="2"/>
  <c r="O60" i="2"/>
  <c r="P60" i="2"/>
  <c r="P26" i="2"/>
  <c r="O26" i="2"/>
  <c r="O24" i="2"/>
  <c r="P24" i="2"/>
  <c r="N54" i="2"/>
  <c r="N38" i="2"/>
  <c r="N22" i="2"/>
  <c r="N6" i="2"/>
  <c r="P15" i="2"/>
  <c r="O15" i="2"/>
  <c r="O11" i="2"/>
  <c r="P11" i="2"/>
  <c r="O55" i="2"/>
  <c r="P55" i="2"/>
  <c r="P39" i="2"/>
  <c r="O39" i="2"/>
  <c r="P23" i="2"/>
  <c r="O23" i="2"/>
  <c r="O7" i="2"/>
  <c r="P7" i="2"/>
  <c r="N53" i="2"/>
  <c r="N37" i="2"/>
  <c r="N21" i="2"/>
  <c r="N5" i="2"/>
  <c r="O35" i="2"/>
  <c r="P35" i="2"/>
  <c r="O49" i="2"/>
  <c r="P49" i="2"/>
  <c r="O29" i="2"/>
  <c r="P29" i="2"/>
  <c r="O59" i="2"/>
  <c r="P59" i="2"/>
  <c r="P27" i="2"/>
  <c r="O27" i="2"/>
  <c r="P56" i="2"/>
  <c r="O56" i="2"/>
  <c r="P54" i="2"/>
  <c r="O54" i="2"/>
  <c r="O38" i="2"/>
  <c r="P38" i="2"/>
  <c r="P22" i="2"/>
  <c r="O22" i="2"/>
  <c r="P6" i="2"/>
  <c r="O6" i="2"/>
  <c r="N52" i="2"/>
  <c r="N36" i="2"/>
  <c r="N20" i="2"/>
  <c r="N4" i="2"/>
  <c r="P19" i="2"/>
  <c r="O19" i="2"/>
  <c r="P34" i="2"/>
  <c r="O34" i="2"/>
  <c r="P33" i="2"/>
  <c r="O33" i="2"/>
  <c r="O32" i="2"/>
  <c r="P32" i="2"/>
  <c r="P2" i="2"/>
  <c r="O2" i="2"/>
  <c r="O61" i="2"/>
  <c r="P61" i="2"/>
  <c r="O44" i="2"/>
  <c r="P44" i="2"/>
  <c r="P42" i="2"/>
  <c r="O42" i="2"/>
  <c r="P10" i="2"/>
  <c r="O10" i="2"/>
  <c r="P40" i="2"/>
  <c r="O40" i="2"/>
  <c r="P53" i="2"/>
  <c r="O53" i="2"/>
  <c r="O37" i="2"/>
  <c r="P37" i="2"/>
  <c r="P21" i="2"/>
  <c r="O21" i="2"/>
  <c r="O5" i="2"/>
  <c r="P5" i="2"/>
  <c r="N51" i="2"/>
  <c r="N35" i="2"/>
  <c r="N19" i="2"/>
  <c r="N3" i="2"/>
  <c r="P50" i="2"/>
  <c r="O50" i="2"/>
  <c r="O47" i="2"/>
  <c r="P47" i="2"/>
  <c r="O13" i="2"/>
  <c r="P13" i="2"/>
  <c r="O28" i="2"/>
  <c r="P28" i="2"/>
  <c r="P43" i="2"/>
  <c r="O43" i="2"/>
  <c r="P8" i="2"/>
  <c r="O8" i="2"/>
  <c r="P52" i="2"/>
  <c r="O52" i="2"/>
  <c r="O36" i="2"/>
  <c r="P36" i="2"/>
  <c r="P20" i="2"/>
  <c r="O20" i="2"/>
  <c r="O4" i="2"/>
  <c r="P4" i="2"/>
  <c r="N50" i="2"/>
  <c r="N34" i="2"/>
  <c r="N18" i="2"/>
  <c r="L63" i="2"/>
  <c r="N2" i="2"/>
  <c r="F117" i="1"/>
  <c r="AE6" i="2" l="1"/>
  <c r="O63" i="2"/>
  <c r="N63" i="2"/>
  <c r="P63" i="2"/>
  <c r="M77" i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I90" i="1"/>
  <c r="AB4" i="2" l="1"/>
  <c r="AE4" i="2"/>
  <c r="Q72" i="1"/>
  <c r="H64" i="1"/>
  <c r="I64" i="1"/>
  <c r="J64" i="1"/>
  <c r="K64" i="1"/>
  <c r="M64" i="1"/>
  <c r="H66" i="1"/>
  <c r="H67" i="1" s="1"/>
  <c r="AB6" i="2" l="1"/>
  <c r="G73" i="1"/>
  <c r="G83" i="1" s="1"/>
  <c r="H65" i="1"/>
  <c r="F73" i="1"/>
  <c r="F83" i="1" s="1"/>
  <c r="D73" i="1"/>
  <c r="D83" i="1" s="1"/>
  <c r="E73" i="1"/>
  <c r="E83" i="1" s="1"/>
  <c r="H73" i="1"/>
  <c r="H83" i="1" s="1"/>
  <c r="C73" i="1" l="1"/>
  <c r="C83" i="1" s="1"/>
  <c r="H74" i="1"/>
  <c r="H84" i="1" s="1"/>
  <c r="C74" i="1"/>
  <c r="C84" i="1" s="1"/>
  <c r="G74" i="1"/>
  <c r="G84" i="1" s="1"/>
  <c r="F74" i="1"/>
  <c r="F84" i="1" s="1"/>
  <c r="D74" i="1"/>
  <c r="D84" i="1" s="1"/>
  <c r="E74" i="1"/>
  <c r="E84" i="1" s="1"/>
  <c r="F76" i="1"/>
  <c r="F86" i="1" s="1"/>
  <c r="G76" i="1"/>
  <c r="G86" i="1" s="1"/>
  <c r="C76" i="1"/>
  <c r="C86" i="1" s="1"/>
  <c r="E76" i="1"/>
  <c r="E86" i="1" s="1"/>
  <c r="H76" i="1"/>
  <c r="H86" i="1" s="1"/>
  <c r="D76" i="1"/>
  <c r="D86" i="1" s="1"/>
  <c r="F77" i="1"/>
  <c r="F87" i="1" s="1"/>
  <c r="C77" i="1"/>
  <c r="C87" i="1" s="1"/>
  <c r="D77" i="1"/>
  <c r="D87" i="1" s="1"/>
  <c r="E77" i="1"/>
  <c r="E87" i="1" s="1"/>
  <c r="G77" i="1"/>
  <c r="G87" i="1" s="1"/>
  <c r="H77" i="1"/>
  <c r="H87" i="1" s="1"/>
  <c r="C75" i="1"/>
  <c r="C85" i="1" s="1"/>
  <c r="D75" i="1"/>
  <c r="D85" i="1" s="1"/>
  <c r="E75" i="1"/>
  <c r="E85" i="1" s="1"/>
  <c r="F75" i="1"/>
  <c r="F85" i="1" s="1"/>
  <c r="H75" i="1"/>
  <c r="H85" i="1" s="1"/>
  <c r="G75" i="1"/>
  <c r="G85" i="1" s="1"/>
  <c r="D78" i="1"/>
  <c r="D88" i="1" s="1"/>
  <c r="F78" i="1"/>
  <c r="F88" i="1" s="1"/>
  <c r="E78" i="1"/>
  <c r="E88" i="1" s="1"/>
  <c r="G78" i="1"/>
  <c r="G88" i="1" s="1"/>
  <c r="H78" i="1"/>
  <c r="H88" i="1" s="1"/>
  <c r="C78" i="1"/>
  <c r="C88" i="1" s="1"/>
  <c r="I66" i="1"/>
  <c r="I67" i="1" s="1"/>
  <c r="K66" i="1"/>
  <c r="K67" i="1" s="1"/>
  <c r="L66" i="1"/>
  <c r="L67" i="1" s="1"/>
  <c r="J66" i="1"/>
  <c r="J67" i="1" s="1"/>
  <c r="M66" i="1"/>
  <c r="M67" i="1" s="1"/>
  <c r="J65" i="1"/>
  <c r="K65" i="1"/>
  <c r="L65" i="1"/>
  <c r="M65" i="1"/>
  <c r="I65" i="1"/>
  <c r="F89" i="1" l="1" a="1"/>
  <c r="F89" i="1" s="1"/>
  <c r="H89" i="1" a="1"/>
  <c r="H89" i="1" s="1"/>
  <c r="G89" i="1" a="1"/>
  <c r="G89" i="1" s="1"/>
  <c r="D89" i="1" a="1"/>
  <c r="D89" i="1" s="1"/>
  <c r="E89" i="1" a="1"/>
  <c r="E89" i="1" s="1"/>
  <c r="C89" i="1" a="1"/>
  <c r="C89" i="1" s="1"/>
  <c r="I89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<sst xmlns="http://schemas.openxmlformats.org/spreadsheetml/2006/main" count="244" uniqueCount="138">
  <si>
    <t>Date</t>
  </si>
  <si>
    <t>AAPL</t>
  </si>
  <si>
    <t>AMZN</t>
  </si>
  <si>
    <t>GLD</t>
  </si>
  <si>
    <t>PG</t>
  </si>
  <si>
    <t>SHV</t>
  </si>
  <si>
    <t>TGT</t>
  </si>
  <si>
    <t>Return Apple</t>
  </si>
  <si>
    <t>Return AMZN</t>
  </si>
  <si>
    <t>Return GLD</t>
  </si>
  <si>
    <t>Return PG</t>
  </si>
  <si>
    <t>Return SHV</t>
  </si>
  <si>
    <t>Return TGT</t>
  </si>
  <si>
    <t>Average (E(r))</t>
  </si>
  <si>
    <t>Annualized Expected Return</t>
  </si>
  <si>
    <t>Annualized Std.</t>
  </si>
  <si>
    <t>Covariance Matrix</t>
  </si>
  <si>
    <t>TICKER</t>
  </si>
  <si>
    <t>Portfolio Allocation</t>
  </si>
  <si>
    <t>Total</t>
  </si>
  <si>
    <t>Weight</t>
  </si>
  <si>
    <t>E®</t>
  </si>
  <si>
    <t>stdev</t>
  </si>
  <si>
    <t>Annualized Covariance Matrix</t>
  </si>
  <si>
    <t>MVP</t>
  </si>
  <si>
    <t>Portfolio Stdev</t>
  </si>
  <si>
    <t>Contribution to Variance</t>
  </si>
  <si>
    <t>Stdev</t>
  </si>
  <si>
    <t>E(r)</t>
  </si>
  <si>
    <t>Sharpe ratio (rf)</t>
  </si>
  <si>
    <t>Sharpe ratio (rb)</t>
  </si>
  <si>
    <t>Max</t>
  </si>
  <si>
    <t>a)</t>
  </si>
  <si>
    <t>Mkt-RF</t>
  </si>
  <si>
    <t>SMB</t>
  </si>
  <si>
    <t>HML</t>
  </si>
  <si>
    <t>RF</t>
  </si>
  <si>
    <t>Note: divide them by 100</t>
  </si>
  <si>
    <t>ORP1</t>
  </si>
  <si>
    <t>ORP2</t>
  </si>
  <si>
    <t>Std.</t>
  </si>
  <si>
    <t>Riskfree Borrowing rate</t>
  </si>
  <si>
    <t>Riskfree Lending rate</t>
  </si>
  <si>
    <t>E(rc)</t>
  </si>
  <si>
    <t>Std. c</t>
  </si>
  <si>
    <t>U Max</t>
  </si>
  <si>
    <t>Risk-free Asset</t>
  </si>
  <si>
    <t>Risky Portfolio(y*)</t>
  </si>
  <si>
    <t>U=E®-3*std.^2, A=6</t>
  </si>
  <si>
    <t xml:space="preserve">Variance c </t>
  </si>
  <si>
    <t>OCP</t>
  </si>
  <si>
    <t>y*(rf) &lt; 1</t>
  </si>
  <si>
    <t>y*(rb) &gt; 1</t>
  </si>
  <si>
    <t>U= 0.129516810084416</t>
  </si>
  <si>
    <t>U= 0.18</t>
  </si>
  <si>
    <t>U= 0.10</t>
  </si>
  <si>
    <t>Therefore, y* = 1.00</t>
  </si>
  <si>
    <t>0..00</t>
  </si>
  <si>
    <t>b)</t>
  </si>
  <si>
    <t>Monthly Return</t>
  </si>
  <si>
    <t>c)</t>
  </si>
  <si>
    <t>Monthly Excess Return</t>
  </si>
  <si>
    <t>ANOVA</t>
  </si>
  <si>
    <t>SS</t>
  </si>
  <si>
    <t>MS</t>
  </si>
  <si>
    <t>F</t>
  </si>
  <si>
    <t>Regression</t>
  </si>
  <si>
    <t>Residual</t>
  </si>
  <si>
    <t>Intercept</t>
  </si>
  <si>
    <t>P-value</t>
  </si>
  <si>
    <t>lower 95%</t>
  </si>
  <si>
    <t>upper 95%</t>
  </si>
  <si>
    <t>lower 95.0%</t>
  </si>
  <si>
    <t>upper 95.0%</t>
  </si>
  <si>
    <t>n</t>
  </si>
  <si>
    <t>Summary</t>
  </si>
  <si>
    <t>Alpha---&gt;</t>
  </si>
  <si>
    <t>Beta---&gt;</t>
  </si>
  <si>
    <t>R</t>
  </si>
  <si>
    <t>R^2</t>
  </si>
  <si>
    <t>Adjusted R^2</t>
  </si>
  <si>
    <t>Standard Error</t>
  </si>
  <si>
    <t>Significance</t>
  </si>
  <si>
    <t>Coefficient</t>
  </si>
  <si>
    <t>t-statistic</t>
  </si>
  <si>
    <t>X Variable</t>
  </si>
  <si>
    <t>d)</t>
  </si>
  <si>
    <t>e)</t>
  </si>
  <si>
    <t>Treynor Measure</t>
  </si>
  <si>
    <t>M^2 measure</t>
  </si>
  <si>
    <t>Information Ratio</t>
  </si>
  <si>
    <t>d.f</t>
  </si>
  <si>
    <t>Significant</t>
  </si>
  <si>
    <t>Annualized Arith Avrerage</t>
  </si>
  <si>
    <t>Sharpe Ratio Mkt</t>
  </si>
  <si>
    <t>Sharpe Ratio OCP</t>
  </si>
  <si>
    <t>Std. Mkt</t>
  </si>
  <si>
    <t>Market Excess Return</t>
  </si>
  <si>
    <t>Market Return</t>
  </si>
  <si>
    <t>Std. OCP</t>
  </si>
  <si>
    <t>Std e OCP</t>
  </si>
  <si>
    <t>f)</t>
  </si>
  <si>
    <t>Regression Statistics</t>
  </si>
  <si>
    <t>Insignificant</t>
  </si>
  <si>
    <t>Because Insignificant</t>
  </si>
  <si>
    <t>Beta Mkt---&gt;</t>
  </si>
  <si>
    <t>Beta SMB---&gt;</t>
  </si>
  <si>
    <t>Beta HML---&gt;</t>
  </si>
  <si>
    <t>g)</t>
  </si>
  <si>
    <t>h)</t>
  </si>
  <si>
    <t xml:space="preserve">Q1a) Monthly end-of-month adjusted-closing prices for AAPL, AMZN, GLD, PG, SHV, and TGT </t>
  </si>
  <si>
    <t>Q1b) Monthly returns for each asset</t>
  </si>
  <si>
    <t>Q1b) Average monthly</t>
  </si>
  <si>
    <t>returns (June 2018 - May 2023)</t>
  </si>
  <si>
    <t xml:space="preserve">Q1c) Standard deviation of </t>
  </si>
  <si>
    <t>returns</t>
  </si>
  <si>
    <t>Q1d) Plot minimum variance frontier</t>
  </si>
  <si>
    <t>Q1e) Weights needed for MVP, E(r) and standard deviation</t>
  </si>
  <si>
    <t>Q1f)  Weights needed for ORP1, E(r) and standard deviation</t>
  </si>
  <si>
    <t>Q1g)  Weights needed for ORP2, E(r) and standard deviation</t>
  </si>
  <si>
    <t>Q1h)  Weights needed for OCP, E(r) and standard deviation</t>
  </si>
  <si>
    <t>Q1i) Plot the indifference curve, given the utility of OCP, 0.1 &amp; 0.18</t>
  </si>
  <si>
    <t>Now we annualize the covariance matrix to keep it consistent with the rest of the data.</t>
  </si>
  <si>
    <t xml:space="preserve">First MVP obtained using solver to minimize variance. Then, we took </t>
  </si>
  <si>
    <t>table to the right. This allows us to graph MVF.</t>
  </si>
  <si>
    <t xml:space="preserve">e) Used solver to calculate weights needed for MVP, along with the resulting E(r) and stdev by minimizing the portfolio standard deviation. </t>
  </si>
  <si>
    <t>f) Found ORP1 by maximizing the sharpe ratio with y-intercept at the risk-free lending rate.</t>
  </si>
  <si>
    <t>g) Found ORP2 by maximizing the sharpe ratio with y-intercept at the risk-free borrowing rate.</t>
  </si>
  <si>
    <t>To find y*, we check the condition one by one</t>
  </si>
  <si>
    <t xml:space="preserve">set increments of the E(r) and minimized  stdev, plotting them in the </t>
  </si>
  <si>
    <t>f), g) &amp; h) are down below</t>
  </si>
  <si>
    <t xml:space="preserve">Using regression function in data analysis, </t>
  </si>
  <si>
    <t>we get ANOVA table and statistics for intercept and independent variable(in this case Mkt Excess Return)</t>
  </si>
  <si>
    <t>Then, we get Alpha &amp; Beta from the Coefficeint colunms</t>
  </si>
  <si>
    <t xml:space="preserve">Use the formula we learned in the lecture, </t>
  </si>
  <si>
    <t>we first found the sharpe ratio of Mkt, Std. of OCP, Std. of Mkt &amp; individual Std. of OCP. Then the results.</t>
  </si>
  <si>
    <t>For f) &amp; g), we basically did the same thing like d)</t>
  </si>
  <si>
    <t>But this time, with more independent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</si>
</sst>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00"/>
    <numFmt numFmtId="165" formatCode="0.0000"/>
    <numFmt numFmtId="166" formatCode="0.00000"/>
    <numFmt numFmtId="167" formatCode="0.000000"/>
    <numFmt numFmtId="168" formatCode="0.00000000"/>
    <numFmt numFmtId="169" formatCode="0.000"/>
    <numFmt numFmtId="170" formatCode="0.000000000000"/>
    <numFmt numFmtId="171" formatCode="0.0000000"/>
    <numFmt numFmtId="172" formatCode="0.0000000000000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Var(--ff-mono)"/>
    </font>
    <font>
      <sz val="12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0">
    <xf numFmtId="0" fontId="0" fillId="0" borderId="0" xfId="0"/>
    <xf numFmtId="2" fontId="3" fillId="0" borderId="0" xfId="0" applyNumberFormat="1" applyFont="1"/>
    <xf numFmtId="165" fontId="0" fillId="0" borderId="0" xfId="0" applyNumberFormat="1"/>
    <xf numFmtId="167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3" borderId="0" xfId="0" applyFont="1" applyFill="1"/>
    <xf numFmtId="0" fontId="0" fillId="2" borderId="0" xfId="0" applyFill="1"/>
    <xf numFmtId="0" fontId="4" fillId="2" borderId="0" xfId="0" applyFont="1" applyFill="1"/>
    <xf numFmtId="2" fontId="4" fillId="2" borderId="0" xfId="1" applyNumberFormat="1" applyFont="1" applyFill="1" applyBorder="1"/>
    <xf numFmtId="2" fontId="2" fillId="3" borderId="0" xfId="1" applyNumberFormat="1" applyFont="1" applyFill="1" applyBorder="1"/>
    <xf numFmtId="168" fontId="0" fillId="0" borderId="0" xfId="0" applyNumberFormat="1"/>
    <xf numFmtId="2" fontId="6" fillId="0" borderId="0" xfId="0" applyNumberFormat="1" applyFont="1"/>
    <xf numFmtId="168" fontId="3" fillId="0" borderId="0" xfId="0" applyNumberFormat="1" applyFont="1"/>
    <xf numFmtId="166" fontId="3" fillId="0" borderId="0" xfId="0" applyNumberFormat="1" applyFont="1"/>
    <xf numFmtId="169" fontId="3" fillId="0" borderId="0" xfId="0" applyNumberFormat="1" applyFont="1"/>
    <xf numFmtId="164" fontId="3" fillId="0" borderId="0" xfId="0" applyNumberFormat="1" applyFont="1"/>
    <xf numFmtId="0" fontId="7" fillId="0" borderId="0" xfId="0" applyFont="1" applyAlignment="1">
      <alignment horizontal="left" vertical="center"/>
    </xf>
    <xf numFmtId="0" fontId="0" fillId="2" borderId="0" xfId="0" applyFont="1" applyFill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2" borderId="1" xfId="0" applyFont="1" applyFill="1" applyBorder="1"/>
    <xf numFmtId="171" fontId="3" fillId="0" borderId="0" xfId="0" applyNumberFormat="1" applyFont="1"/>
    <xf numFmtId="164" fontId="2" fillId="3" borderId="0" xfId="0" applyNumberFormat="1" applyFont="1" applyFill="1"/>
    <xf numFmtId="172" fontId="3" fillId="0" borderId="0" xfId="0" applyNumberFormat="1" applyFont="1"/>
    <xf numFmtId="2" fontId="1" fillId="0" borderId="0" xfId="0" applyNumberFormat="1" applyFont="1"/>
    <xf numFmtId="172" fontId="1" fillId="0" borderId="0" xfId="0" applyNumberFormat="1" applyFont="1"/>
    <xf numFmtId="2" fontId="3" fillId="0" borderId="4" xfId="0" applyNumberFormat="1" applyFont="1" applyBorder="1"/>
    <xf numFmtId="2" fontId="3" fillId="4" borderId="0" xfId="0" applyNumberFormat="1" applyFont="1" applyFill="1"/>
    <xf numFmtId="2" fontId="3" fillId="4" borderId="5" xfId="0" applyNumberFormat="1" applyFont="1" applyFill="1" applyBorder="1"/>
    <xf numFmtId="2" fontId="3" fillId="4" borderId="6" xfId="0" applyNumberFormat="1" applyFont="1" applyFill="1" applyBorder="1"/>
    <xf numFmtId="172" fontId="3" fillId="4" borderId="6" xfId="0" applyNumberFormat="1" applyFont="1" applyFill="1" applyBorder="1"/>
    <xf numFmtId="172" fontId="6" fillId="4" borderId="6" xfId="0" applyNumberFormat="1" applyFont="1" applyFill="1" applyBorder="1"/>
    <xf numFmtId="170" fontId="3" fillId="0" borderId="7" xfId="0" applyNumberFormat="1" applyFont="1" applyBorder="1"/>
    <xf numFmtId="0" fontId="0" fillId="0" borderId="4" xfId="0" applyBorder="1"/>
    <xf numFmtId="2" fontId="3" fillId="0" borderId="8" xfId="0" applyNumberFormat="1" applyFont="1" applyBorder="1"/>
    <xf numFmtId="164" fontId="1" fillId="0" borderId="9" xfId="0" applyNumberFormat="1" applyFont="1" applyBorder="1"/>
    <xf numFmtId="164" fontId="1" fillId="0" borderId="2" xfId="0" applyNumberFormat="1" applyFont="1" applyBorder="1"/>
    <xf numFmtId="2" fontId="3" fillId="0" borderId="10" xfId="0" applyNumberFormat="1" applyFont="1" applyBorder="1"/>
    <xf numFmtId="2" fontId="3" fillId="0" borderId="7" xfId="0" applyNumberFormat="1" applyFont="1" applyBorder="1"/>
    <xf numFmtId="2" fontId="3" fillId="0" borderId="9" xfId="0" applyNumberFormat="1" applyFont="1" applyBorder="1"/>
    <xf numFmtId="164" fontId="6" fillId="0" borderId="0" xfId="0" applyNumberFormat="1" applyFont="1"/>
    <xf numFmtId="0" fontId="4" fillId="0" borderId="0" xfId="0" applyFont="1" applyBorder="1"/>
    <xf numFmtId="0" fontId="0" fillId="0" borderId="0" xfId="0" applyBorder="1"/>
    <xf numFmtId="0" fontId="0" fillId="0" borderId="12" xfId="0" applyBorder="1"/>
    <xf numFmtId="0" fontId="4" fillId="0" borderId="9" xfId="0" applyFont="1" applyBorder="1"/>
    <xf numFmtId="0" fontId="4" fillId="0" borderId="2" xfId="0" applyFont="1" applyBorder="1"/>
    <xf numFmtId="0" fontId="0" fillId="0" borderId="9" xfId="0" applyBorder="1"/>
    <xf numFmtId="2" fontId="3" fillId="0" borderId="11" xfId="0" applyNumberFormat="1" applyFont="1" applyBorder="1"/>
    <xf numFmtId="2" fontId="3" fillId="0" borderId="0" xfId="0" applyNumberFormat="1" applyFont="1" applyBorder="1"/>
    <xf numFmtId="2" fontId="3" fillId="0" borderId="12" xfId="0" applyNumberFormat="1" applyFont="1" applyBorder="1"/>
    <xf numFmtId="14" fontId="3" fillId="0" borderId="11" xfId="0" applyNumberFormat="1" applyFont="1" applyBorder="1"/>
    <xf numFmtId="14" fontId="3" fillId="0" borderId="9" xfId="0" applyNumberFormat="1" applyFont="1" applyBorder="1"/>
    <xf numFmtId="0" fontId="0" fillId="0" borderId="0" xfId="0" applyFill="1" applyBorder="1" applyAlignment="1"/>
    <xf numFmtId="0" fontId="0" fillId="0" borderId="13" xfId="0" applyFill="1" applyBorder="1" applyAlignment="1"/>
    <xf numFmtId="0" fontId="10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/>
    <xf numFmtId="0" fontId="8" fillId="0" borderId="13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0" fillId="5" borderId="15" xfId="0" applyFill="1" applyBorder="1"/>
    <xf numFmtId="0" fontId="0" fillId="5" borderId="3" xfId="0" applyFill="1" applyBorder="1"/>
    <xf numFmtId="0" fontId="0" fillId="5" borderId="6" xfId="0" applyFill="1" applyBorder="1"/>
    <xf numFmtId="0" fontId="11" fillId="5" borderId="6" xfId="0" applyFont="1" applyFill="1" applyBorder="1"/>
    <xf numFmtId="0" fontId="0" fillId="0" borderId="0" xfId="0" applyFont="1"/>
    <xf numFmtId="0" fontId="8" fillId="0" borderId="4" xfId="0" applyFont="1" applyBorder="1"/>
    <xf numFmtId="0" fontId="4" fillId="0" borderId="19" xfId="0" applyFont="1" applyBorder="1"/>
    <xf numFmtId="0" fontId="4" fillId="0" borderId="13" xfId="0" applyFont="1" applyBorder="1"/>
    <xf numFmtId="0" fontId="4" fillId="0" borderId="2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2" fontId="12" fillId="6" borderId="0" xfId="0" applyNumberFormat="1" applyFont="1" applyFill="1"/>
    <xf numFmtId="2" fontId="12" fillId="6" borderId="0" xfId="0" applyNumberFormat="1" applyFont="1" applyFill="1" applyAlignment="1">
      <alignment wrapText="1"/>
    </xf>
    <xf numFmtId="165" fontId="0" fillId="0" borderId="4" xfId="0" applyNumberFormat="1" applyBorder="1"/>
    <xf numFmtId="167" fontId="0" fillId="0" borderId="8" xfId="0" applyNumberFormat="1" applyBorder="1"/>
    <xf numFmtId="0" fontId="8" fillId="0" borderId="11" xfId="0" applyFont="1" applyBorder="1"/>
    <xf numFmtId="165" fontId="8" fillId="0" borderId="0" xfId="0" applyNumberFormat="1" applyFont="1" applyBorder="1"/>
    <xf numFmtId="167" fontId="8" fillId="0" borderId="12" xfId="0" applyNumberFormat="1" applyFont="1" applyBorder="1"/>
    <xf numFmtId="0" fontId="0" fillId="0" borderId="11" xfId="0" applyBorder="1"/>
    <xf numFmtId="165" fontId="0" fillId="0" borderId="0" xfId="0" applyNumberFormat="1" applyBorder="1"/>
    <xf numFmtId="167" fontId="0" fillId="0" borderId="12" xfId="0" applyNumberFormat="1" applyBorder="1"/>
    <xf numFmtId="165" fontId="0" fillId="0" borderId="2" xfId="0" applyNumberFormat="1" applyBorder="1"/>
    <xf numFmtId="167" fontId="0" fillId="0" borderId="10" xfId="0" applyNumberFormat="1" applyBorder="1"/>
    <xf numFmtId="0" fontId="0" fillId="0" borderId="9" xfId="0" applyBorder="1" applyAlignment="1">
      <alignment horizontal="left"/>
    </xf>
    <xf numFmtId="2" fontId="16" fillId="8" borderId="0" xfId="0" applyNumberFormat="1" applyFont="1" applyFill="1"/>
    <xf numFmtId="0" fontId="13" fillId="8" borderId="0" xfId="0" applyFont="1" applyFill="1"/>
    <xf numFmtId="2" fontId="16" fillId="8" borderId="6" xfId="0" applyNumberFormat="1" applyFont="1" applyFill="1" applyBorder="1"/>
    <xf numFmtId="0" fontId="4" fillId="9" borderId="18" xfId="0" applyFont="1" applyFill="1" applyBorder="1"/>
    <xf numFmtId="0" fontId="4" fillId="9" borderId="20" xfId="0" applyFont="1" applyFill="1" applyBorder="1"/>
    <xf numFmtId="0" fontId="0" fillId="9" borderId="5" xfId="0" applyFill="1" applyBorder="1"/>
    <xf numFmtId="0" fontId="0" fillId="9" borderId="6" xfId="0" applyFill="1" applyBorder="1"/>
    <xf numFmtId="0" fontId="4" fillId="10" borderId="17" xfId="0" applyFont="1" applyFill="1" applyBorder="1"/>
    <xf numFmtId="0" fontId="4" fillId="10" borderId="16" xfId="0" applyFont="1" applyFill="1" applyBorder="1"/>
    <xf numFmtId="0" fontId="4" fillId="10" borderId="6" xfId="0" applyFont="1" applyFill="1" applyBorder="1"/>
    <xf numFmtId="0" fontId="4" fillId="10" borderId="0" xfId="0" applyFont="1" applyFill="1"/>
    <xf numFmtId="9" fontId="0" fillId="5" borderId="6" xfId="1" applyFont="1" applyFill="1" applyBorder="1"/>
    <xf numFmtId="2" fontId="16" fillId="7" borderId="0" xfId="0" applyNumberFormat="1" applyFont="1" applyFill="1" applyAlignment="1"/>
    <xf numFmtId="0" fontId="0" fillId="0" borderId="0" xfId="0" applyAlignment="1"/>
    <xf numFmtId="2" fontId="12" fillId="6" borderId="0" xfId="0" applyNumberFormat="1" applyFont="1" applyFill="1"/>
    <xf numFmtId="0" fontId="0" fillId="0" borderId="0" xfId="0"/>
    <xf numFmtId="0" fontId="13" fillId="7" borderId="0" xfId="0" applyFont="1" applyFill="1"/>
    <xf numFmtId="2" fontId="14" fillId="7" borderId="0" xfId="0" applyNumberFormat="1" applyFont="1" applyFill="1" applyAlignment="1">
      <alignment wrapText="1"/>
    </xf>
    <xf numFmtId="0" fontId="15" fillId="0" borderId="0" xfId="0" applyFont="1" applyAlignment="1">
      <alignment wrapText="1"/>
    </xf>
  </cellXfs>
  <cellStyles count="2">
    <cellStyle name="一般" xfId="0" builtinId="0"/>
    <cellStyle name="百分比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1" formatCode="0.00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171" formatCode="0.00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171" formatCode="0.00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171" formatCode="0.00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171" formatCode="0.00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</dxf>
    <dxf>
      <border outline="0">
        <top style="medium">
          <color auto="1"/>
        </top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MVF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'Q1'!$N$75:$N$108</c:f>
              <c:numCache>
                <c:formatCode>0.000000</c:formatCode>
                <c:ptCount val="34"/>
                <c:pt idx="0">
                  <c:v>6.3699999999999998E-3</c:v>
                </c:pt>
                <c:pt idx="1">
                  <c:v>6.6109999999999997E-3</c:v>
                </c:pt>
                <c:pt idx="2">
                  <c:v>8.8079999999999999E-3</c:v>
                </c:pt>
                <c:pt idx="3">
                  <c:v>1.5885E-2</c:v>
                </c:pt>
                <c:pt idx="4">
                  <c:v>2.3820000000000001E-2</c:v>
                </c:pt>
                <c:pt idx="5">
                  <c:v>3.1973000000000001E-2</c:v>
                </c:pt>
                <c:pt idx="6">
                  <c:v>4.0210000000000003E-2</c:v>
                </c:pt>
                <c:pt idx="7">
                  <c:v>4.8489999999999998E-2</c:v>
                </c:pt>
                <c:pt idx="8">
                  <c:v>5.6792000000000002E-2</c:v>
                </c:pt>
                <c:pt idx="9">
                  <c:v>6.5110000000000001E-2</c:v>
                </c:pt>
                <c:pt idx="10">
                  <c:v>7.3437000000000002E-2</c:v>
                </c:pt>
                <c:pt idx="11">
                  <c:v>8.1769999999999995E-2</c:v>
                </c:pt>
                <c:pt idx="12">
                  <c:v>9.0107999999999994E-2</c:v>
                </c:pt>
                <c:pt idx="13">
                  <c:v>9.8450999999999997E-2</c:v>
                </c:pt>
                <c:pt idx="14">
                  <c:v>0.106795</c:v>
                </c:pt>
                <c:pt idx="15">
                  <c:v>0.11514199999999999</c:v>
                </c:pt>
                <c:pt idx="16">
                  <c:v>0.123491</c:v>
                </c:pt>
                <c:pt idx="17">
                  <c:v>0.13184000000000001</c:v>
                </c:pt>
                <c:pt idx="18">
                  <c:v>0.14019100000000001</c:v>
                </c:pt>
                <c:pt idx="19">
                  <c:v>0.14854300000000001</c:v>
                </c:pt>
                <c:pt idx="20">
                  <c:v>0.15689600000000001</c:v>
                </c:pt>
                <c:pt idx="21">
                  <c:v>0.16525100000000001</c:v>
                </c:pt>
                <c:pt idx="22">
                  <c:v>0.173899</c:v>
                </c:pt>
                <c:pt idx="23">
                  <c:v>0.18306</c:v>
                </c:pt>
                <c:pt idx="24">
                  <c:v>0.192662</c:v>
                </c:pt>
                <c:pt idx="25">
                  <c:v>0.20308499999999999</c:v>
                </c:pt>
                <c:pt idx="26">
                  <c:v>0.21490300000000001</c:v>
                </c:pt>
                <c:pt idx="27">
                  <c:v>0.227909</c:v>
                </c:pt>
                <c:pt idx="28">
                  <c:v>0.24191099999999999</c:v>
                </c:pt>
                <c:pt idx="29">
                  <c:v>0.25674599999999997</c:v>
                </c:pt>
                <c:pt idx="30">
                  <c:v>0.27227800000000002</c:v>
                </c:pt>
                <c:pt idx="31">
                  <c:v>0.28839500000000001</c:v>
                </c:pt>
                <c:pt idx="32">
                  <c:v>0.305004</c:v>
                </c:pt>
                <c:pt idx="33">
                  <c:v>0.32172899999999999</c:v>
                </c:pt>
              </c:numCache>
            </c:numRef>
          </c:xVal>
          <c:yVal>
            <c:numRef>
              <c:f>'Q1'!$M$75:$M$108</c:f>
              <c:numCache>
                <c:formatCode>0.0000</c:formatCode>
                <c:ptCount val="34"/>
                <c:pt idx="0">
                  <c:v>1.3296518832065281E-2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0.32979999999999998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FD1-476A-9564-4F12C4E460D7}"/>
            </c:ext>
          </c:extLst>
        </c:ser>
        <c:ser>
          <c:idx val="0"/>
          <c:order val="1"/>
          <c:tx>
            <c:v>MVP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2633952437629803E-2"/>
                  <c:y val="0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CE-49E8-B41F-B950A81D45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'Q1'!$N$75</c:f>
              <c:numCache>
                <c:formatCode>0.000000</c:formatCode>
                <c:ptCount val="1"/>
                <c:pt idx="0">
                  <c:v>6.3699999999999998E-3</c:v>
                </c:pt>
              </c:numCache>
            </c:numRef>
          </c:xVal>
          <c:yVal>
            <c:numRef>
              <c:f>'Q1'!$M$75</c:f>
              <c:numCache>
                <c:formatCode>0.0000</c:formatCode>
                <c:ptCount val="1"/>
                <c:pt idx="0">
                  <c:v>1.3296518832065281E-2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FD1-476A-9564-4F12C4E460D7}"/>
            </c:ext>
          </c:extLst>
        </c:ser>
        <c:ser>
          <c:idx val="3"/>
          <c:order val="2"/>
          <c:tx>
            <c:v>ORP1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diamond"/>
              <c:size val="12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solid"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5ED-4051-98C7-9102E82008B1}"/>
              </c:ext>
            </c:extLst>
          </c:dPt>
          <c:dLbls>
            <c:dLbl>
              <c:idx val="0"/>
              <c:layout>
                <c:manualLayout>
                  <c:x val="-0.35213915746346897"/>
                  <c:y val="-0.16013130404328293"/>
                </c:manualLayout>
              </c:layout>
              <c:tx>
                <c:rich>
                  <a:bodyPr/>
                  <a:lstStyle/>
                  <a:p>
                    <a:fld id="{006CB6EF-9571-461E-A364-C49C457C7A85}" type="CELLRANGE">
                      <a:rPr lang="en-US" baseline="0"/>
                      <a:pPr/>
                      <a:t>[CELLRANGE]</a:t>
                    </a:fld>
                    <a:fld id="{C717539B-8A54-4F80-8F92-0981F0C93B11}" type="SERIESNAME">
                      <a:rPr lang="en-US" baseline="0"/>
                      <a:pPr/>
                      <a:t>[數列名稱]</a:t>
                    </a:fld>
                    <a:r>
                      <a:rPr lang="en-US" baseline="0"/>
                      <a:t>, </a:t>
                    </a:r>
                    <a:fld id="{28401D04-57B2-4508-B244-B5DC3F3D7911}" type="XVALUE">
                      <a:rPr lang="en-US" baseline="0"/>
                      <a:pPr/>
                      <a:t>[X 值]</a:t>
                    </a:fld>
                    <a:r>
                      <a:rPr lang="en-US" baseline="0"/>
                      <a:t>, </a:t>
                    </a:r>
                    <a:fld id="{33A17E45-0FCA-41F2-9F50-09E77EAC9DC5}" type="YVALUE">
                      <a:rPr lang="en-US" baseline="0"/>
                      <a:pPr/>
                      <a:t>[Y 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300396751845999"/>
                      <c:h val="8.063650306748466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61E-42B6-A7BC-AA188E4A54DE}"/>
                </c:ext>
              </c:extLst>
            </c:dLbl>
            <c:dLbl>
              <c:idx val="1"/>
              <c:layout>
                <c:manualLayout>
                  <c:x val="-6.7560589308646835E-2"/>
                  <c:y val="-2.272388682598308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1E7ED50-0EDC-4A0D-A5B4-C32544C4FD34}" type="YVALUE">
                      <a:rPr lang="en-US" sz="1600" baseline="0"/>
                      <a:pPr>
                        <a:defRPr sz="1600"/>
                      </a:pPr>
                      <a:t>[Y 值]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433009220179679E-2"/>
                      <c:h val="3.337235616272839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5ED-4051-98C7-9102E8200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ysClr val="windowText" lastClr="00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>
                    <a:alpha val="67000"/>
                  </a:schemeClr>
                </a:solidFill>
                <a:prstDash val="solid"/>
              </a:ln>
              <a:effectLst/>
            </c:spPr>
            <c:trendlineType val="linear"/>
            <c:forward val="0.14000000000000001"/>
            <c:dispRSqr val="0"/>
            <c:dispEq val="0"/>
          </c:trendline>
          <c:xVal>
            <c:numRef>
              <c:f>'Q1'!$F$106:$F$107</c:f>
              <c:numCache>
                <c:formatCode>0.000000000</c:formatCode>
                <c:ptCount val="2"/>
                <c:pt idx="0">
                  <c:v>0.16619026470869055</c:v>
                </c:pt>
                <c:pt idx="1">
                  <c:v>0</c:v>
                </c:pt>
              </c:numCache>
            </c:numRef>
          </c:xVal>
          <c:yVal>
            <c:numRef>
              <c:f>'Q1'!$G$106:$G$107</c:f>
              <c:numCache>
                <c:formatCode>0.000000000</c:formatCode>
                <c:ptCount val="2"/>
                <c:pt idx="0">
                  <c:v>0.21111983341133211</c:v>
                </c:pt>
                <c:pt idx="1">
                  <c:v>1.4E-2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'Q1'!$V$79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02-D5ED-4051-98C7-9102E82008B1}"/>
            </c:ext>
          </c:extLst>
        </c:ser>
        <c:ser>
          <c:idx val="4"/>
          <c:order val="3"/>
          <c:tx>
            <c:v>ORP2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9209538088862449E-2"/>
                  <c:y val="5.4038452248683568E-2"/>
                </c:manualLayout>
              </c:layout>
              <c:tx>
                <c:rich>
                  <a:bodyPr/>
                  <a:lstStyle/>
                  <a:p>
                    <a:fld id="{96C189F2-C2D8-4EE1-B533-904FA608713B}" type="CELLRANGE">
                      <a:rPr lang="en-US" baseline="0"/>
                      <a:pPr/>
                      <a:t>[CELLRANGE]</a:t>
                    </a:fld>
                    <a:fld id="{0B468933-F722-4FAA-8D4D-E44A05EA5998}" type="SERIESNAME">
                      <a:rPr lang="en-US" baseline="0"/>
                      <a:pPr/>
                      <a:t>[數列名稱]</a:t>
                    </a:fld>
                    <a:r>
                      <a:rPr lang="en-US" baseline="0"/>
                      <a:t>, </a:t>
                    </a:r>
                    <a:fld id="{45D9D3AC-A3AD-4D0F-AE73-2027FD4F184D}" type="XVALUE">
                      <a:rPr lang="en-US" baseline="0"/>
                      <a:pPr/>
                      <a:t>[X 值]</a:t>
                    </a:fld>
                    <a:r>
                      <a:rPr lang="en-US" baseline="0"/>
                      <a:t>, </a:t>
                    </a:r>
                    <a:fld id="{A3AFA26B-D55C-40FD-8DAD-A0E9A49401C8}" type="YVALUE">
                      <a:rPr lang="en-US" baseline="0"/>
                      <a:pPr/>
                      <a:t>[Y 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45446462400494"/>
                      <c:h val="8.063650306748466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561E-42B6-A7BC-AA188E4A54D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561E-42B6-A7BC-AA188E4A5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ysClr val="windowText" lastClr="00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2225" cap="rnd">
                <a:solidFill>
                  <a:schemeClr val="accent6">
                    <a:alpha val="61000"/>
                  </a:schemeClr>
                </a:solidFill>
                <a:prstDash val="sysDash"/>
              </a:ln>
              <a:effectLst/>
            </c:spPr>
            <c:trendlineType val="linear"/>
            <c:forward val="0.12000000000000001"/>
            <c:dispRSqr val="0"/>
            <c:dispEq val="0"/>
          </c:trendline>
          <c:xVal>
            <c:numRef>
              <c:f>'Q1'!$F$112:$F$113</c:f>
              <c:numCache>
                <c:formatCode>0.000000000</c:formatCode>
                <c:ptCount val="2"/>
                <c:pt idx="0">
                  <c:v>0.19579441048936719</c:v>
                </c:pt>
                <c:pt idx="1">
                  <c:v>0</c:v>
                </c:pt>
              </c:numCache>
            </c:numRef>
          </c:xVal>
          <c:yVal>
            <c:numRef>
              <c:f>'Q1'!$G$112:$G$113</c:f>
              <c:numCache>
                <c:formatCode>0.000000000</c:formatCode>
                <c:ptCount val="2"/>
                <c:pt idx="0">
                  <c:v>0.24315787975768022</c:v>
                </c:pt>
                <c:pt idx="1">
                  <c:v>0.05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'Q1'!$U$79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05-D5ED-4051-98C7-9102E82008B1}"/>
            </c:ext>
          </c:extLst>
        </c:ser>
        <c:ser>
          <c:idx val="5"/>
          <c:order val="4"/>
          <c:tx>
            <c:v>OCP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3CE-49E8-B41F-B950A81D45F3}"/>
              </c:ext>
            </c:extLst>
          </c:dPt>
          <c:dLbls>
            <c:dLbl>
              <c:idx val="0"/>
              <c:layout>
                <c:manualLayout>
                  <c:x val="0.11054253671488001"/>
                  <c:y val="0.19423744625863484"/>
                </c:manualLayout>
              </c:layout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95899645966793"/>
                      <c:h val="8.063650306748466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3CE-49E8-B41F-B950A81D45F3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ysClr val="windowText" lastClr="00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'Q1'!$F$119</c:f>
              <c:numCache>
                <c:formatCode>0.000000000000000</c:formatCode>
                <c:ptCount val="1"/>
                <c:pt idx="0">
                  <c:v>0.18014154725387463</c:v>
                </c:pt>
              </c:numCache>
            </c:numRef>
          </c:xVal>
          <c:yVal>
            <c:numRef>
              <c:f>'Q1'!$G$119</c:f>
              <c:numCache>
                <c:formatCode>0.000000000000000</c:formatCode>
                <c:ptCount val="1"/>
                <c:pt idx="0">
                  <c:v>0.22686974122547557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BA-410F-AA2C-DC891532E577}"/>
            </c:ext>
          </c:extLst>
        </c:ser>
        <c:ser>
          <c:idx val="6"/>
          <c:order val="5"/>
          <c:tx>
            <c:v>U = 0.10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'Q1'!$H$123:$H$133</c:f>
              <c:numCache>
                <c:formatCode>0.00</c:formatCode>
                <c:ptCount val="11"/>
                <c:pt idx="0">
                  <c:v>0.1414213562373095</c:v>
                </c:pt>
                <c:pt idx="1">
                  <c:v>0.16329931618554519</c:v>
                </c:pt>
                <c:pt idx="2">
                  <c:v>0.18257418583505536</c:v>
                </c:pt>
                <c:pt idx="3">
                  <c:v>0.2</c:v>
                </c:pt>
                <c:pt idx="4">
                  <c:v>0.21602468994692867</c:v>
                </c:pt>
                <c:pt idx="5">
                  <c:v>0.23094010767585033</c:v>
                </c:pt>
                <c:pt idx="6">
                  <c:v>0.24494897427831783</c:v>
                </c:pt>
                <c:pt idx="7">
                  <c:v>0.2581988897471611</c:v>
                </c:pt>
                <c:pt idx="8">
                  <c:v>0.27080128015453203</c:v>
                </c:pt>
                <c:pt idx="9">
                  <c:v>0.28284271247461901</c:v>
                </c:pt>
                <c:pt idx="10">
                  <c:v>0.29439202887759491</c:v>
                </c:pt>
              </c:numCache>
            </c:numRef>
          </c:xVal>
          <c:yVal>
            <c:numRef>
              <c:f>'Q1'!$G$123:$G$133</c:f>
              <c:numCache>
                <c:formatCode>0.00</c:formatCode>
                <c:ptCount val="11"/>
                <c:pt idx="0">
                  <c:v>0.16</c:v>
                </c:pt>
                <c:pt idx="1">
                  <c:v>0.18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0.32</c:v>
                </c:pt>
                <c:pt idx="9">
                  <c:v>0.34</c:v>
                </c:pt>
                <c:pt idx="10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6B-4DF1-A507-ADC03F998E3D}"/>
            </c:ext>
          </c:extLst>
        </c:ser>
        <c:ser>
          <c:idx val="7"/>
          <c:order val="6"/>
          <c:tx>
            <c:v>U = 0.18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'Q1'!$J$123:$J$133</c:f>
              <c:numCache>
                <c:formatCode>0.00</c:formatCode>
                <c:ptCount val="11"/>
                <c:pt idx="0">
                  <c:v>0.11547005383792516</c:v>
                </c:pt>
                <c:pt idx="1">
                  <c:v>0.1414213562373095</c:v>
                </c:pt>
                <c:pt idx="2">
                  <c:v>0.16329931618554522</c:v>
                </c:pt>
                <c:pt idx="3">
                  <c:v>0.18257418583505541</c:v>
                </c:pt>
                <c:pt idx="4">
                  <c:v>0.2</c:v>
                </c:pt>
                <c:pt idx="5">
                  <c:v>0.21602468994692867</c:v>
                </c:pt>
                <c:pt idx="6">
                  <c:v>0.23094010767585033</c:v>
                </c:pt>
                <c:pt idx="7">
                  <c:v>0.2449489742783178</c:v>
                </c:pt>
                <c:pt idx="8">
                  <c:v>0.2581988897471611</c:v>
                </c:pt>
                <c:pt idx="9">
                  <c:v>0.27080128015453203</c:v>
                </c:pt>
                <c:pt idx="10">
                  <c:v>0.28284271247461901</c:v>
                </c:pt>
              </c:numCache>
            </c:numRef>
          </c:xVal>
          <c:yVal>
            <c:numRef>
              <c:f>'Q1'!$I$123:$I$133</c:f>
              <c:numCache>
                <c:formatCode>0.00</c:formatCode>
                <c:ptCount val="11"/>
                <c:pt idx="0">
                  <c:v>0.22</c:v>
                </c:pt>
                <c:pt idx="1">
                  <c:v>0.24</c:v>
                </c:pt>
                <c:pt idx="2">
                  <c:v>0.26</c:v>
                </c:pt>
                <c:pt idx="3">
                  <c:v>0.28000000000000003</c:v>
                </c:pt>
                <c:pt idx="4">
                  <c:v>0.3</c:v>
                </c:pt>
                <c:pt idx="5">
                  <c:v>0.32</c:v>
                </c:pt>
                <c:pt idx="6">
                  <c:v>0.34</c:v>
                </c:pt>
                <c:pt idx="7">
                  <c:v>0.36</c:v>
                </c:pt>
                <c:pt idx="8">
                  <c:v>0.38</c:v>
                </c:pt>
                <c:pt idx="9">
                  <c:v>0.4</c:v>
                </c:pt>
                <c:pt idx="10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6B-4DF1-A507-ADC03F998E3D}"/>
            </c:ext>
          </c:extLst>
        </c:ser>
        <c:ser>
          <c:idx val="8"/>
          <c:order val="7"/>
          <c:tx>
            <c:v>U = 0.1295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'Q1'!$F$123:$F$133</c:f>
              <c:numCache>
                <c:formatCode>0.00</c:formatCode>
                <c:ptCount val="11"/>
                <c:pt idx="0">
                  <c:v>0.12972174055208066</c:v>
                </c:pt>
                <c:pt idx="1">
                  <c:v>0.15327881992802528</c:v>
                </c:pt>
                <c:pt idx="2">
                  <c:v>0.17366940808672857</c:v>
                </c:pt>
                <c:pt idx="3" formatCode="0.000000000000000">
                  <c:v>0.18014154725387477</c:v>
                </c:pt>
                <c:pt idx="4">
                  <c:v>0.19190552355745608</c:v>
                </c:pt>
                <c:pt idx="5">
                  <c:v>0.20855310268257338</c:v>
                </c:pt>
                <c:pt idx="6">
                  <c:v>0.22396665668173615</c:v>
                </c:pt>
                <c:pt idx="7">
                  <c:v>0.23838567484616463</c:v>
                </c:pt>
                <c:pt idx="8">
                  <c:v>0.25198094499094176</c:v>
                </c:pt>
                <c:pt idx="9">
                  <c:v>0.26487933725603185</c:v>
                </c:pt>
                <c:pt idx="10">
                  <c:v>0.27717815565419529</c:v>
                </c:pt>
              </c:numCache>
            </c:numRef>
          </c:xVal>
          <c:yVal>
            <c:numRef>
              <c:f>'Q1'!$E$123:$E$133</c:f>
              <c:numCache>
                <c:formatCode>0.00</c:formatCode>
                <c:ptCount val="11"/>
                <c:pt idx="0">
                  <c:v>0.18</c:v>
                </c:pt>
                <c:pt idx="1">
                  <c:v>0.2</c:v>
                </c:pt>
                <c:pt idx="2">
                  <c:v>0.22</c:v>
                </c:pt>
                <c:pt idx="3" formatCode="0.000000000000000">
                  <c:v>0.22686974122547601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0.32</c:v>
                </c:pt>
                <c:pt idx="9">
                  <c:v>0.34</c:v>
                </c:pt>
                <c:pt idx="10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6B-4DF1-A507-ADC03F998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35704"/>
        <c:axId val="702836032"/>
      </c:scatterChart>
      <c:valAx>
        <c:axId val="70283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2400" baseline="0"/>
                  <a:t>Std.</a:t>
                </a:r>
                <a:endParaRPr lang="zh-TW" altLang="en-US" sz="2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36032"/>
        <c:crosses val="autoZero"/>
        <c:crossBetween val="midCat"/>
      </c:valAx>
      <c:valAx>
        <c:axId val="7028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2400" baseline="0"/>
                  <a:t>E(r)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35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outerShdw blurRad="50800" dist="50800" dir="5400000" sx="4000" sy="4000" algn="ctr" rotWithShape="0">
            <a:srgbClr val="000000">
              <a:alpha val="43137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Mkt(Q2d)</a:t>
            </a:r>
            <a:endParaRPr lang="zh-TW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'Q2'!$O$2:$O$61</c:f>
              <c:numCache>
                <c:formatCode>General</c:formatCode>
                <c:ptCount val="60"/>
                <c:pt idx="0">
                  <c:v>4.7999999999999996E-3</c:v>
                </c:pt>
                <c:pt idx="1">
                  <c:v>3.1899999999999998E-2</c:v>
                </c:pt>
                <c:pt idx="2">
                  <c:v>3.44E-2</c:v>
                </c:pt>
                <c:pt idx="3">
                  <c:v>5.9999999999999995E-4</c:v>
                </c:pt>
                <c:pt idx="4">
                  <c:v>-7.6799999999999993E-2</c:v>
                </c:pt>
                <c:pt idx="5">
                  <c:v>1.6899999999999998E-2</c:v>
                </c:pt>
                <c:pt idx="6">
                  <c:v>-9.5700000000000007E-2</c:v>
                </c:pt>
                <c:pt idx="7">
                  <c:v>8.4000000000000005E-2</c:v>
                </c:pt>
                <c:pt idx="8">
                  <c:v>3.4000000000000002E-2</c:v>
                </c:pt>
                <c:pt idx="9">
                  <c:v>1.1000000000000001E-2</c:v>
                </c:pt>
                <c:pt idx="10">
                  <c:v>3.9700000000000006E-2</c:v>
                </c:pt>
                <c:pt idx="11">
                  <c:v>-6.9400000000000003E-2</c:v>
                </c:pt>
                <c:pt idx="12">
                  <c:v>6.93E-2</c:v>
                </c:pt>
                <c:pt idx="13">
                  <c:v>1.1899999999999999E-2</c:v>
                </c:pt>
                <c:pt idx="14">
                  <c:v>-2.58E-2</c:v>
                </c:pt>
                <c:pt idx="15">
                  <c:v>1.43E-2</c:v>
                </c:pt>
                <c:pt idx="16">
                  <c:v>2.06E-2</c:v>
                </c:pt>
                <c:pt idx="17">
                  <c:v>3.8700000000000005E-2</c:v>
                </c:pt>
                <c:pt idx="18">
                  <c:v>2.7700000000000002E-2</c:v>
                </c:pt>
                <c:pt idx="19">
                  <c:v>-1.1000000000000001E-3</c:v>
                </c:pt>
                <c:pt idx="20">
                  <c:v>-8.1300000000000011E-2</c:v>
                </c:pt>
                <c:pt idx="21">
                  <c:v>-0.13390000000000002</c:v>
                </c:pt>
                <c:pt idx="22">
                  <c:v>0.13650000000000001</c:v>
                </c:pt>
                <c:pt idx="23">
                  <c:v>5.5800000000000002E-2</c:v>
                </c:pt>
                <c:pt idx="24">
                  <c:v>2.46E-2</c:v>
                </c:pt>
                <c:pt idx="25">
                  <c:v>5.7699999999999994E-2</c:v>
                </c:pt>
                <c:pt idx="26">
                  <c:v>7.6300000000000007E-2</c:v>
                </c:pt>
                <c:pt idx="27">
                  <c:v>-3.6299999999999999E-2</c:v>
                </c:pt>
                <c:pt idx="28">
                  <c:v>-2.1000000000000001E-2</c:v>
                </c:pt>
                <c:pt idx="29">
                  <c:v>0.12470000000000001</c:v>
                </c:pt>
                <c:pt idx="30">
                  <c:v>4.6300000000000001E-2</c:v>
                </c:pt>
                <c:pt idx="31">
                  <c:v>-2.9999999999999997E-4</c:v>
                </c:pt>
                <c:pt idx="32">
                  <c:v>2.7799999999999998E-2</c:v>
                </c:pt>
                <c:pt idx="33">
                  <c:v>3.0800000000000001E-2</c:v>
                </c:pt>
                <c:pt idx="34">
                  <c:v>4.9299999999999997E-2</c:v>
                </c:pt>
                <c:pt idx="35">
                  <c:v>2.8999999999999998E-3</c:v>
                </c:pt>
                <c:pt idx="36">
                  <c:v>2.75E-2</c:v>
                </c:pt>
                <c:pt idx="37">
                  <c:v>1.2700000000000001E-2</c:v>
                </c:pt>
                <c:pt idx="38">
                  <c:v>2.9100000000000001E-2</c:v>
                </c:pt>
                <c:pt idx="39">
                  <c:v>-4.3700000000000003E-2</c:v>
                </c:pt>
                <c:pt idx="40">
                  <c:v>6.6500000000000004E-2</c:v>
                </c:pt>
                <c:pt idx="41">
                  <c:v>-1.5500000000000002E-2</c:v>
                </c:pt>
                <c:pt idx="42">
                  <c:v>3.1000000000000003E-2</c:v>
                </c:pt>
                <c:pt idx="43">
                  <c:v>-6.25E-2</c:v>
                </c:pt>
                <c:pt idx="44">
                  <c:v>-2.29E-2</c:v>
                </c:pt>
                <c:pt idx="45">
                  <c:v>3.0499999999999999E-2</c:v>
                </c:pt>
                <c:pt idx="46">
                  <c:v>-9.4600000000000017E-2</c:v>
                </c:pt>
                <c:pt idx="47">
                  <c:v>-3.4000000000000002E-3</c:v>
                </c:pt>
                <c:pt idx="48">
                  <c:v>-8.43E-2</c:v>
                </c:pt>
                <c:pt idx="49">
                  <c:v>9.5700000000000007E-2</c:v>
                </c:pt>
                <c:pt idx="50">
                  <c:v>-3.7700000000000004E-2</c:v>
                </c:pt>
                <c:pt idx="51">
                  <c:v>-9.35E-2</c:v>
                </c:pt>
                <c:pt idx="52">
                  <c:v>7.8300000000000008E-2</c:v>
                </c:pt>
                <c:pt idx="53">
                  <c:v>4.5999999999999999E-2</c:v>
                </c:pt>
                <c:pt idx="54">
                  <c:v>-6.4100000000000004E-2</c:v>
                </c:pt>
                <c:pt idx="55">
                  <c:v>6.6500000000000004E-2</c:v>
                </c:pt>
                <c:pt idx="56">
                  <c:v>-2.58E-2</c:v>
                </c:pt>
                <c:pt idx="57">
                  <c:v>2.5099999999999997E-2</c:v>
                </c:pt>
                <c:pt idx="58">
                  <c:v>6.1000000000000004E-3</c:v>
                </c:pt>
                <c:pt idx="59">
                  <c:v>3.4999999999999996E-3</c:v>
                </c:pt>
              </c:numCache>
            </c:numRef>
          </c:xVal>
          <c:yVal>
            <c:numRef>
              <c:f>'Q2'!$N$2:$N$61</c:f>
              <c:numCache>
                <c:formatCode>General</c:formatCode>
                <c:ptCount val="60"/>
                <c:pt idx="0">
                  <c:v>2.9726082000814759E-2</c:v>
                </c:pt>
                <c:pt idx="1">
                  <c:v>2.6728105665821258E-2</c:v>
                </c:pt>
                <c:pt idx="2">
                  <c:v>8.9814347800390285E-2</c:v>
                </c:pt>
                <c:pt idx="3">
                  <c:v>-2.0318665759510384E-3</c:v>
                </c:pt>
                <c:pt idx="4">
                  <c:v>2.3701554801104002E-2</c:v>
                </c:pt>
                <c:pt idx="5">
                  <c:v>-3.0508811611734448E-2</c:v>
                </c:pt>
                <c:pt idx="6">
                  <c:v>-5.5838605828653951E-2</c:v>
                </c:pt>
                <c:pt idx="7">
                  <c:v>4.7876949167213752E-2</c:v>
                </c:pt>
                <c:pt idx="8">
                  <c:v>2.9000943122077748E-2</c:v>
                </c:pt>
                <c:pt idx="9">
                  <c:v>6.5503864464478243E-2</c:v>
                </c:pt>
                <c:pt idx="10">
                  <c:v>3.1356185037236965E-2</c:v>
                </c:pt>
                <c:pt idx="11">
                  <c:v>-6.3406875963617382E-2</c:v>
                </c:pt>
                <c:pt idx="12">
                  <c:v>9.111873496378671E-2</c:v>
                </c:pt>
                <c:pt idx="13">
                  <c:v>6.8411672654329889E-2</c:v>
                </c:pt>
                <c:pt idx="14">
                  <c:v>1.0743183698771971E-2</c:v>
                </c:pt>
                <c:pt idx="15">
                  <c:v>4.3291665393925503E-2</c:v>
                </c:pt>
                <c:pt idx="16">
                  <c:v>4.2915125337710323E-2</c:v>
                </c:pt>
                <c:pt idx="17">
                  <c:v>1.7083819326341419E-2</c:v>
                </c:pt>
                <c:pt idx="18">
                  <c:v>5.276282093142301E-2</c:v>
                </c:pt>
                <c:pt idx="19">
                  <c:v>2.1550172675358512E-2</c:v>
                </c:pt>
                <c:pt idx="20">
                  <c:v>-9.2437882288637876E-2</c:v>
                </c:pt>
                <c:pt idx="21">
                  <c:v>-4.2475490927220728E-2</c:v>
                </c:pt>
                <c:pt idx="22">
                  <c:v>0.10335273434431563</c:v>
                </c:pt>
                <c:pt idx="23">
                  <c:v>2.7674983442722633E-2</c:v>
                </c:pt>
                <c:pt idx="24">
                  <c:v>7.608904508386706E-2</c:v>
                </c:pt>
                <c:pt idx="25">
                  <c:v>0.12334174864975102</c:v>
                </c:pt>
                <c:pt idx="26">
                  <c:v>0.11411452904499957</c:v>
                </c:pt>
                <c:pt idx="27">
                  <c:v>-3.9064010519707364E-2</c:v>
                </c:pt>
                <c:pt idx="28">
                  <c:v>-3.0584689051491098E-2</c:v>
                </c:pt>
                <c:pt idx="29">
                  <c:v>4.0991892467621346E-2</c:v>
                </c:pt>
                <c:pt idx="30">
                  <c:v>5.0686190172921732E-2</c:v>
                </c:pt>
                <c:pt idx="31">
                  <c:v>-4.7278724118632841E-2</c:v>
                </c:pt>
                <c:pt idx="32">
                  <c:v>-5.2329088576657884E-2</c:v>
                </c:pt>
                <c:pt idx="33">
                  <c:v>5.4544349702763409E-2</c:v>
                </c:pt>
                <c:pt idx="34">
                  <c:v>2.3682793483317682E-2</c:v>
                </c:pt>
                <c:pt idx="35">
                  <c:v>-4.2344284065292722E-3</c:v>
                </c:pt>
                <c:pt idx="36">
                  <c:v>3.2772803916683177E-2</c:v>
                </c:pt>
                <c:pt idx="37">
                  <c:v>5.5898739915860418E-2</c:v>
                </c:pt>
                <c:pt idx="38">
                  <c:v>1.9441816027370558E-2</c:v>
                </c:pt>
                <c:pt idx="39">
                  <c:v>-3.7655525594537817E-2</c:v>
                </c:pt>
                <c:pt idx="40">
                  <c:v>3.5733989750234327E-2</c:v>
                </c:pt>
                <c:pt idx="41">
                  <c:v>4.8005958053493572E-2</c:v>
                </c:pt>
                <c:pt idx="42">
                  <c:v>0.10233895738171393</c:v>
                </c:pt>
                <c:pt idx="43">
                  <c:v>-1.7650342199199327E-2</c:v>
                </c:pt>
                <c:pt idx="44">
                  <c:v>-2.8520338174844048E-2</c:v>
                </c:pt>
                <c:pt idx="45">
                  <c:v>1.2459515328993438E-2</c:v>
                </c:pt>
                <c:pt idx="46">
                  <c:v>-1.1082457883340932E-2</c:v>
                </c:pt>
                <c:pt idx="47">
                  <c:v>-6.3974377161585355E-2</c:v>
                </c:pt>
                <c:pt idx="48">
                  <c:v>-4.7128234419471483E-2</c:v>
                </c:pt>
                <c:pt idx="49">
                  <c:v>5.0134487068805758E-2</c:v>
                </c:pt>
                <c:pt idx="50">
                  <c:v>-1.6879474856831292E-2</c:v>
                </c:pt>
                <c:pt idx="51">
                  <c:v>-9.5394056390775112E-2</c:v>
                </c:pt>
                <c:pt idx="52">
                  <c:v>7.3800381585145597E-2</c:v>
                </c:pt>
                <c:pt idx="53">
                  <c:v>5.330245236494572E-2</c:v>
                </c:pt>
                <c:pt idx="54">
                  <c:v>-3.7952095906630672E-2</c:v>
                </c:pt>
                <c:pt idx="55">
                  <c:v>1.0192468172630139E-2</c:v>
                </c:pt>
                <c:pt idx="56">
                  <c:v>-1.4577304513793849E-2</c:v>
                </c:pt>
                <c:pt idx="57">
                  <c:v>9.2096247725715202E-2</c:v>
                </c:pt>
                <c:pt idx="58">
                  <c:v>3.6144787296258321E-2</c:v>
                </c:pt>
                <c:pt idx="59">
                  <c:v>-3.2732719718655878E-2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64-4ECA-AC42-F044C3A99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625312"/>
        <c:axId val="723632856"/>
      </c:scatterChart>
      <c:valAx>
        <c:axId val="72362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E(R) of OCP</a:t>
                </a:r>
              </a:p>
            </c:rich>
          </c:tx>
          <c:layout>
            <c:manualLayout>
              <c:xMode val="edge"/>
              <c:yMode val="edge"/>
              <c:x val="0.74481176524423875"/>
              <c:y val="0.628351960983540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23632856"/>
        <c:crosses val="autoZero"/>
        <c:crossBetween val="midCat"/>
      </c:valAx>
      <c:valAx>
        <c:axId val="72363285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E(R)</a:t>
                </a:r>
                <a:r>
                  <a:rPr lang="en-US" altLang="zh-TW" baseline="0"/>
                  <a:t> of Mkt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25687448008631053"/>
              <c:y val="0.123654236943710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236253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SMB </a:t>
            </a:r>
            <a:endParaRPr lang="zh-TW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Monthly Excess Return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'Q2'!$H$2:$H$61</c:f>
              <c:numCache>
                <c:formatCode>General</c:formatCode>
                <c:ptCount val="60"/>
                <c:pt idx="0">
                  <c:v>1.1399999999999999E-2</c:v>
                </c:pt>
                <c:pt idx="1">
                  <c:v>-2.2200000000000001E-2</c:v>
                </c:pt>
                <c:pt idx="2">
                  <c:v>1.1399999999999999E-2</c:v>
                </c:pt>
                <c:pt idx="3">
                  <c:v>-2.2700000000000001E-2</c:v>
                </c:pt>
                <c:pt idx="4">
                  <c:v>-4.7800000000000002E-2</c:v>
                </c:pt>
                <c:pt idx="5">
                  <c:v>-6.8000000000000005E-3</c:v>
                </c:pt>
                <c:pt idx="6">
                  <c:v>-2.3799999999999998E-2</c:v>
                </c:pt>
                <c:pt idx="7">
                  <c:v>2.8999999999999998E-2</c:v>
                </c:pt>
                <c:pt idx="8">
                  <c:v>2.0499999999999997E-2</c:v>
                </c:pt>
                <c:pt idx="9">
                  <c:v>-3.0499999999999999E-2</c:v>
                </c:pt>
                <c:pt idx="10">
                  <c:v>-1.7399999999999999E-2</c:v>
                </c:pt>
                <c:pt idx="11">
                  <c:v>-1.3200000000000002E-2</c:v>
                </c:pt>
                <c:pt idx="12">
                  <c:v>2.8999999999999998E-3</c:v>
                </c:pt>
                <c:pt idx="13">
                  <c:v>-1.9300000000000001E-2</c:v>
                </c:pt>
                <c:pt idx="14">
                  <c:v>-2.3799999999999998E-2</c:v>
                </c:pt>
                <c:pt idx="15">
                  <c:v>-9.5999999999999992E-3</c:v>
                </c:pt>
                <c:pt idx="16">
                  <c:v>2.8999999999999998E-3</c:v>
                </c:pt>
                <c:pt idx="17">
                  <c:v>7.7000000000000002E-3</c:v>
                </c:pt>
                <c:pt idx="18">
                  <c:v>7.3000000000000001E-3</c:v>
                </c:pt>
                <c:pt idx="19">
                  <c:v>-3.1099999999999999E-2</c:v>
                </c:pt>
                <c:pt idx="20">
                  <c:v>1.0700000000000001E-2</c:v>
                </c:pt>
                <c:pt idx="21">
                  <c:v>-4.8300000000000003E-2</c:v>
                </c:pt>
                <c:pt idx="22">
                  <c:v>2.4500000000000001E-2</c:v>
                </c:pt>
                <c:pt idx="23">
                  <c:v>2.4700000000000003E-2</c:v>
                </c:pt>
                <c:pt idx="24">
                  <c:v>2.69E-2</c:v>
                </c:pt>
                <c:pt idx="25">
                  <c:v>-2.3300000000000001E-2</c:v>
                </c:pt>
                <c:pt idx="26">
                  <c:v>-2.2000000000000001E-3</c:v>
                </c:pt>
                <c:pt idx="27">
                  <c:v>2.0000000000000001E-4</c:v>
                </c:pt>
                <c:pt idx="28">
                  <c:v>4.3799999999999999E-2</c:v>
                </c:pt>
                <c:pt idx="29">
                  <c:v>5.7999999999999996E-2</c:v>
                </c:pt>
                <c:pt idx="30">
                  <c:v>4.8899999999999999E-2</c:v>
                </c:pt>
                <c:pt idx="31">
                  <c:v>7.3599999999999999E-2</c:v>
                </c:pt>
                <c:pt idx="32">
                  <c:v>2.0499999999999997E-2</c:v>
                </c:pt>
                <c:pt idx="33">
                  <c:v>-2.3700000000000002E-2</c:v>
                </c:pt>
                <c:pt idx="34">
                  <c:v>-3.1899999999999998E-2</c:v>
                </c:pt>
                <c:pt idx="35">
                  <c:v>-2.5000000000000001E-3</c:v>
                </c:pt>
                <c:pt idx="36">
                  <c:v>1.6799999999999999E-2</c:v>
                </c:pt>
                <c:pt idx="37">
                  <c:v>-3.9700000000000006E-2</c:v>
                </c:pt>
                <c:pt idx="38">
                  <c:v>-4.1999999999999997E-3</c:v>
                </c:pt>
                <c:pt idx="39">
                  <c:v>7.0999999999999995E-3</c:v>
                </c:pt>
                <c:pt idx="40">
                  <c:v>-2.35E-2</c:v>
                </c:pt>
                <c:pt idx="41">
                  <c:v>-1.3200000000000002E-2</c:v>
                </c:pt>
                <c:pt idx="42">
                  <c:v>-1.67E-2</c:v>
                </c:pt>
                <c:pt idx="43">
                  <c:v>-5.9400000000000008E-2</c:v>
                </c:pt>
                <c:pt idx="44">
                  <c:v>2.1899999999999999E-2</c:v>
                </c:pt>
                <c:pt idx="45">
                  <c:v>-1.61E-2</c:v>
                </c:pt>
                <c:pt idx="46">
                  <c:v>-1.3899999999999999E-2</c:v>
                </c:pt>
                <c:pt idx="47">
                  <c:v>-1.83E-2</c:v>
                </c:pt>
                <c:pt idx="48">
                  <c:v>2.1000000000000001E-2</c:v>
                </c:pt>
                <c:pt idx="49">
                  <c:v>2.81E-2</c:v>
                </c:pt>
                <c:pt idx="50">
                  <c:v>1.3999999999999999E-2</c:v>
                </c:pt>
                <c:pt idx="51">
                  <c:v>-8.1000000000000013E-3</c:v>
                </c:pt>
                <c:pt idx="52">
                  <c:v>5.9999999999999995E-4</c:v>
                </c:pt>
                <c:pt idx="53">
                  <c:v>-3.5200000000000002E-2</c:v>
                </c:pt>
                <c:pt idx="54">
                  <c:v>-6.8999999999999999E-3</c:v>
                </c:pt>
                <c:pt idx="55">
                  <c:v>5.0099999999999999E-2</c:v>
                </c:pt>
                <c:pt idx="56">
                  <c:v>1.17E-2</c:v>
                </c:pt>
                <c:pt idx="57">
                  <c:v>-5.5099999999999996E-2</c:v>
                </c:pt>
                <c:pt idx="58">
                  <c:v>-3.3500000000000002E-2</c:v>
                </c:pt>
                <c:pt idx="59">
                  <c:v>1.61E-2</c:v>
                </c:pt>
              </c:numCache>
            </c:numRef>
          </c:xVal>
          <c:yVal>
            <c:numRef>
              <c:f>'Q2'!$N$2:$N$61</c:f>
              <c:numCache>
                <c:formatCode>General</c:formatCode>
                <c:ptCount val="60"/>
                <c:pt idx="0">
                  <c:v>2.9726082000814759E-2</c:v>
                </c:pt>
                <c:pt idx="1">
                  <c:v>2.6728105665821258E-2</c:v>
                </c:pt>
                <c:pt idx="2">
                  <c:v>8.9814347800390285E-2</c:v>
                </c:pt>
                <c:pt idx="3">
                  <c:v>-2.0318665759510384E-3</c:v>
                </c:pt>
                <c:pt idx="4">
                  <c:v>2.3701554801104002E-2</c:v>
                </c:pt>
                <c:pt idx="5">
                  <c:v>-3.0508811611734448E-2</c:v>
                </c:pt>
                <c:pt idx="6">
                  <c:v>-5.5838605828653951E-2</c:v>
                </c:pt>
                <c:pt idx="7">
                  <c:v>4.7876949167213752E-2</c:v>
                </c:pt>
                <c:pt idx="8">
                  <c:v>2.9000943122077748E-2</c:v>
                </c:pt>
                <c:pt idx="9">
                  <c:v>6.5503864464478243E-2</c:v>
                </c:pt>
                <c:pt idx="10">
                  <c:v>3.1356185037236965E-2</c:v>
                </c:pt>
                <c:pt idx="11">
                  <c:v>-6.3406875963617382E-2</c:v>
                </c:pt>
                <c:pt idx="12">
                  <c:v>9.111873496378671E-2</c:v>
                </c:pt>
                <c:pt idx="13">
                  <c:v>6.8411672654329889E-2</c:v>
                </c:pt>
                <c:pt idx="14">
                  <c:v>1.0743183698771971E-2</c:v>
                </c:pt>
                <c:pt idx="15">
                  <c:v>4.3291665393925503E-2</c:v>
                </c:pt>
                <c:pt idx="16">
                  <c:v>4.2915125337710323E-2</c:v>
                </c:pt>
                <c:pt idx="17">
                  <c:v>1.7083819326341419E-2</c:v>
                </c:pt>
                <c:pt idx="18">
                  <c:v>5.276282093142301E-2</c:v>
                </c:pt>
                <c:pt idx="19">
                  <c:v>2.1550172675358512E-2</c:v>
                </c:pt>
                <c:pt idx="20">
                  <c:v>-9.2437882288637876E-2</c:v>
                </c:pt>
                <c:pt idx="21">
                  <c:v>-4.2475490927220728E-2</c:v>
                </c:pt>
                <c:pt idx="22">
                  <c:v>0.10335273434431563</c:v>
                </c:pt>
                <c:pt idx="23">
                  <c:v>2.7674983442722633E-2</c:v>
                </c:pt>
                <c:pt idx="24">
                  <c:v>7.608904508386706E-2</c:v>
                </c:pt>
                <c:pt idx="25">
                  <c:v>0.12334174864975102</c:v>
                </c:pt>
                <c:pt idx="26">
                  <c:v>0.11411452904499957</c:v>
                </c:pt>
                <c:pt idx="27">
                  <c:v>-3.9064010519707364E-2</c:v>
                </c:pt>
                <c:pt idx="28">
                  <c:v>-3.0584689051491098E-2</c:v>
                </c:pt>
                <c:pt idx="29">
                  <c:v>4.0991892467621346E-2</c:v>
                </c:pt>
                <c:pt idx="30">
                  <c:v>5.0686190172921732E-2</c:v>
                </c:pt>
                <c:pt idx="31">
                  <c:v>-4.7278724118632841E-2</c:v>
                </c:pt>
                <c:pt idx="32">
                  <c:v>-5.2329088576657884E-2</c:v>
                </c:pt>
                <c:pt idx="33">
                  <c:v>5.4544349702763409E-2</c:v>
                </c:pt>
                <c:pt idx="34">
                  <c:v>2.3682793483317682E-2</c:v>
                </c:pt>
                <c:pt idx="35">
                  <c:v>-4.2344284065292722E-3</c:v>
                </c:pt>
                <c:pt idx="36">
                  <c:v>3.2772803916683177E-2</c:v>
                </c:pt>
                <c:pt idx="37">
                  <c:v>5.5898739915860418E-2</c:v>
                </c:pt>
                <c:pt idx="38">
                  <c:v>1.9441816027370558E-2</c:v>
                </c:pt>
                <c:pt idx="39">
                  <c:v>-3.7655525594537817E-2</c:v>
                </c:pt>
                <c:pt idx="40">
                  <c:v>3.5733989750234327E-2</c:v>
                </c:pt>
                <c:pt idx="41">
                  <c:v>4.8005958053493572E-2</c:v>
                </c:pt>
                <c:pt idx="42">
                  <c:v>0.10233895738171393</c:v>
                </c:pt>
                <c:pt idx="43">
                  <c:v>-1.7650342199199327E-2</c:v>
                </c:pt>
                <c:pt idx="44">
                  <c:v>-2.8520338174844048E-2</c:v>
                </c:pt>
                <c:pt idx="45">
                  <c:v>1.2459515328993438E-2</c:v>
                </c:pt>
                <c:pt idx="46">
                  <c:v>-1.1082457883340932E-2</c:v>
                </c:pt>
                <c:pt idx="47">
                  <c:v>-6.3974377161585355E-2</c:v>
                </c:pt>
                <c:pt idx="48">
                  <c:v>-4.7128234419471483E-2</c:v>
                </c:pt>
                <c:pt idx="49">
                  <c:v>5.0134487068805758E-2</c:v>
                </c:pt>
                <c:pt idx="50">
                  <c:v>-1.6879474856831292E-2</c:v>
                </c:pt>
                <c:pt idx="51">
                  <c:v>-9.5394056390775112E-2</c:v>
                </c:pt>
                <c:pt idx="52">
                  <c:v>7.3800381585145597E-2</c:v>
                </c:pt>
                <c:pt idx="53">
                  <c:v>5.330245236494572E-2</c:v>
                </c:pt>
                <c:pt idx="54">
                  <c:v>-3.7952095906630672E-2</c:v>
                </c:pt>
                <c:pt idx="55">
                  <c:v>1.0192468172630139E-2</c:v>
                </c:pt>
                <c:pt idx="56">
                  <c:v>-1.4577304513793849E-2</c:v>
                </c:pt>
                <c:pt idx="57">
                  <c:v>9.2096247725715202E-2</c:v>
                </c:pt>
                <c:pt idx="58">
                  <c:v>3.6144787296258321E-2</c:v>
                </c:pt>
                <c:pt idx="59">
                  <c:v>-3.2732719718655878E-2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9D-4F0B-8046-13DFCFD2E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788712"/>
        <c:axId val="629779528"/>
      </c:scatterChart>
      <c:valAx>
        <c:axId val="62978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SMB</a:t>
                </a:r>
              </a:p>
            </c:rich>
          </c:tx>
          <c:layout>
            <c:manualLayout>
              <c:xMode val="edge"/>
              <c:yMode val="edge"/>
              <c:x val="0.62201235415463596"/>
              <c:y val="0.661074336916904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9779528"/>
        <c:crosses val="autoZero"/>
        <c:crossBetween val="midCat"/>
      </c:valAx>
      <c:valAx>
        <c:axId val="629779528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Monthly Excess Return</a:t>
                </a:r>
              </a:p>
            </c:rich>
          </c:tx>
          <c:layout>
            <c:manualLayout>
              <c:xMode val="edge"/>
              <c:yMode val="edge"/>
              <c:x val="0.1468883706213345"/>
              <c:y val="0.116131579188968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9788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HML</a:t>
            </a:r>
            <a:endParaRPr lang="zh-TW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Monthly Excess Return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'Q2'!$I$2:$I$61</c:f>
              <c:numCache>
                <c:formatCode>General</c:formatCode>
                <c:ptCount val="60"/>
                <c:pt idx="0">
                  <c:v>-2.3400000000000001E-2</c:v>
                </c:pt>
                <c:pt idx="1">
                  <c:v>4.7000000000000002E-3</c:v>
                </c:pt>
                <c:pt idx="2">
                  <c:v>-3.9399999999999998E-2</c:v>
                </c:pt>
                <c:pt idx="3">
                  <c:v>-1.7000000000000001E-2</c:v>
                </c:pt>
                <c:pt idx="4">
                  <c:v>3.4000000000000002E-2</c:v>
                </c:pt>
                <c:pt idx="5">
                  <c:v>3.0000000000000001E-3</c:v>
                </c:pt>
                <c:pt idx="6">
                  <c:v>-1.84E-2</c:v>
                </c:pt>
                <c:pt idx="7">
                  <c:v>-4.5999999999999999E-3</c:v>
                </c:pt>
                <c:pt idx="8">
                  <c:v>-2.6700000000000002E-2</c:v>
                </c:pt>
                <c:pt idx="9">
                  <c:v>-4.1700000000000001E-2</c:v>
                </c:pt>
                <c:pt idx="10">
                  <c:v>2.1499999999999998E-2</c:v>
                </c:pt>
                <c:pt idx="11">
                  <c:v>-2.3700000000000002E-2</c:v>
                </c:pt>
                <c:pt idx="12">
                  <c:v>-7.0999999999999995E-3</c:v>
                </c:pt>
                <c:pt idx="13">
                  <c:v>4.7999999999999996E-3</c:v>
                </c:pt>
                <c:pt idx="14">
                  <c:v>-4.7800000000000002E-2</c:v>
                </c:pt>
                <c:pt idx="15">
                  <c:v>6.7500000000000004E-2</c:v>
                </c:pt>
                <c:pt idx="16">
                  <c:v>-1.9099999999999999E-2</c:v>
                </c:pt>
                <c:pt idx="17">
                  <c:v>-2.0199999999999999E-2</c:v>
                </c:pt>
                <c:pt idx="18">
                  <c:v>1.7500000000000002E-2</c:v>
                </c:pt>
                <c:pt idx="19">
                  <c:v>-6.25E-2</c:v>
                </c:pt>
                <c:pt idx="20">
                  <c:v>-3.8100000000000002E-2</c:v>
                </c:pt>
                <c:pt idx="21">
                  <c:v>-0.13869999999999999</c:v>
                </c:pt>
                <c:pt idx="22">
                  <c:v>-1.3300000000000001E-2</c:v>
                </c:pt>
                <c:pt idx="23">
                  <c:v>-4.8800000000000003E-2</c:v>
                </c:pt>
                <c:pt idx="24">
                  <c:v>-2.2000000000000002E-2</c:v>
                </c:pt>
                <c:pt idx="25">
                  <c:v>-1.41E-2</c:v>
                </c:pt>
                <c:pt idx="26">
                  <c:v>-2.9700000000000004E-2</c:v>
                </c:pt>
                <c:pt idx="27">
                  <c:v>-2.7099999999999999E-2</c:v>
                </c:pt>
                <c:pt idx="28">
                  <c:v>4.2500000000000003E-2</c:v>
                </c:pt>
                <c:pt idx="29">
                  <c:v>2.0899999999999998E-2</c:v>
                </c:pt>
                <c:pt idx="30">
                  <c:v>-1.5100000000000001E-2</c:v>
                </c:pt>
                <c:pt idx="31">
                  <c:v>3.0099999999999998E-2</c:v>
                </c:pt>
                <c:pt idx="32">
                  <c:v>7.1500000000000008E-2</c:v>
                </c:pt>
                <c:pt idx="33">
                  <c:v>7.3899999999999993E-2</c:v>
                </c:pt>
                <c:pt idx="34">
                  <c:v>-9.4999999999999998E-3</c:v>
                </c:pt>
                <c:pt idx="35">
                  <c:v>7.0900000000000005E-2</c:v>
                </c:pt>
                <c:pt idx="36">
                  <c:v>-7.8700000000000006E-2</c:v>
                </c:pt>
                <c:pt idx="37">
                  <c:v>-1.78E-2</c:v>
                </c:pt>
                <c:pt idx="38">
                  <c:v>-1.5E-3</c:v>
                </c:pt>
                <c:pt idx="39">
                  <c:v>5.0800000000000005E-2</c:v>
                </c:pt>
                <c:pt idx="40">
                  <c:v>-4.8999999999999998E-3</c:v>
                </c:pt>
                <c:pt idx="41">
                  <c:v>-4.5000000000000005E-3</c:v>
                </c:pt>
                <c:pt idx="42">
                  <c:v>3.2599999999999997E-2</c:v>
                </c:pt>
                <c:pt idx="43">
                  <c:v>0.1275</c:v>
                </c:pt>
                <c:pt idx="44">
                  <c:v>3.0800000000000001E-2</c:v>
                </c:pt>
                <c:pt idx="45">
                  <c:v>-1.8100000000000002E-2</c:v>
                </c:pt>
                <c:pt idx="46">
                  <c:v>6.1699999999999998E-2</c:v>
                </c:pt>
                <c:pt idx="47">
                  <c:v>8.3900000000000002E-2</c:v>
                </c:pt>
                <c:pt idx="48">
                  <c:v>-5.9699999999999996E-2</c:v>
                </c:pt>
                <c:pt idx="49">
                  <c:v>-4.0500000000000001E-2</c:v>
                </c:pt>
                <c:pt idx="50">
                  <c:v>2.8999999999999998E-3</c:v>
                </c:pt>
                <c:pt idx="51">
                  <c:v>5.0000000000000001E-4</c:v>
                </c:pt>
                <c:pt idx="52">
                  <c:v>8.0100000000000005E-2</c:v>
                </c:pt>
                <c:pt idx="53">
                  <c:v>1.38E-2</c:v>
                </c:pt>
                <c:pt idx="54">
                  <c:v>1.3700000000000002E-2</c:v>
                </c:pt>
                <c:pt idx="55">
                  <c:v>-4.0099999999999997E-2</c:v>
                </c:pt>
                <c:pt idx="56">
                  <c:v>-8.1000000000000013E-3</c:v>
                </c:pt>
                <c:pt idx="57">
                  <c:v>-8.8499999999999995E-2</c:v>
                </c:pt>
                <c:pt idx="58">
                  <c:v>-4.0000000000000002E-4</c:v>
                </c:pt>
                <c:pt idx="59">
                  <c:v>-7.7200000000000005E-2</c:v>
                </c:pt>
              </c:numCache>
            </c:numRef>
          </c:xVal>
          <c:yVal>
            <c:numRef>
              <c:f>'Q2'!$N$2:$N$61</c:f>
              <c:numCache>
                <c:formatCode>General</c:formatCode>
                <c:ptCount val="60"/>
                <c:pt idx="0">
                  <c:v>2.9726082000814759E-2</c:v>
                </c:pt>
                <c:pt idx="1">
                  <c:v>2.6728105665821258E-2</c:v>
                </c:pt>
                <c:pt idx="2">
                  <c:v>8.9814347800390285E-2</c:v>
                </c:pt>
                <c:pt idx="3">
                  <c:v>-2.0318665759510384E-3</c:v>
                </c:pt>
                <c:pt idx="4">
                  <c:v>2.3701554801104002E-2</c:v>
                </c:pt>
                <c:pt idx="5">
                  <c:v>-3.0508811611734448E-2</c:v>
                </c:pt>
                <c:pt idx="6">
                  <c:v>-5.5838605828653951E-2</c:v>
                </c:pt>
                <c:pt idx="7">
                  <c:v>4.7876949167213752E-2</c:v>
                </c:pt>
                <c:pt idx="8">
                  <c:v>2.9000943122077748E-2</c:v>
                </c:pt>
                <c:pt idx="9">
                  <c:v>6.5503864464478243E-2</c:v>
                </c:pt>
                <c:pt idx="10">
                  <c:v>3.1356185037236965E-2</c:v>
                </c:pt>
                <c:pt idx="11">
                  <c:v>-6.3406875963617382E-2</c:v>
                </c:pt>
                <c:pt idx="12">
                  <c:v>9.111873496378671E-2</c:v>
                </c:pt>
                <c:pt idx="13">
                  <c:v>6.8411672654329889E-2</c:v>
                </c:pt>
                <c:pt idx="14">
                  <c:v>1.0743183698771971E-2</c:v>
                </c:pt>
                <c:pt idx="15">
                  <c:v>4.3291665393925503E-2</c:v>
                </c:pt>
                <c:pt idx="16">
                  <c:v>4.2915125337710323E-2</c:v>
                </c:pt>
                <c:pt idx="17">
                  <c:v>1.7083819326341419E-2</c:v>
                </c:pt>
                <c:pt idx="18">
                  <c:v>5.276282093142301E-2</c:v>
                </c:pt>
                <c:pt idx="19">
                  <c:v>2.1550172675358512E-2</c:v>
                </c:pt>
                <c:pt idx="20">
                  <c:v>-9.2437882288637876E-2</c:v>
                </c:pt>
                <c:pt idx="21">
                  <c:v>-4.2475490927220728E-2</c:v>
                </c:pt>
                <c:pt idx="22">
                  <c:v>0.10335273434431563</c:v>
                </c:pt>
                <c:pt idx="23">
                  <c:v>2.7674983442722633E-2</c:v>
                </c:pt>
                <c:pt idx="24">
                  <c:v>7.608904508386706E-2</c:v>
                </c:pt>
                <c:pt idx="25">
                  <c:v>0.12334174864975102</c:v>
                </c:pt>
                <c:pt idx="26">
                  <c:v>0.11411452904499957</c:v>
                </c:pt>
                <c:pt idx="27">
                  <c:v>-3.9064010519707364E-2</c:v>
                </c:pt>
                <c:pt idx="28">
                  <c:v>-3.0584689051491098E-2</c:v>
                </c:pt>
                <c:pt idx="29">
                  <c:v>4.0991892467621346E-2</c:v>
                </c:pt>
                <c:pt idx="30">
                  <c:v>5.0686190172921732E-2</c:v>
                </c:pt>
                <c:pt idx="31">
                  <c:v>-4.7278724118632841E-2</c:v>
                </c:pt>
                <c:pt idx="32">
                  <c:v>-5.2329088576657884E-2</c:v>
                </c:pt>
                <c:pt idx="33">
                  <c:v>5.4544349702763409E-2</c:v>
                </c:pt>
                <c:pt idx="34">
                  <c:v>2.3682793483317682E-2</c:v>
                </c:pt>
                <c:pt idx="35">
                  <c:v>-4.2344284065292722E-3</c:v>
                </c:pt>
                <c:pt idx="36">
                  <c:v>3.2772803916683177E-2</c:v>
                </c:pt>
                <c:pt idx="37">
                  <c:v>5.5898739915860418E-2</c:v>
                </c:pt>
                <c:pt idx="38">
                  <c:v>1.9441816027370558E-2</c:v>
                </c:pt>
                <c:pt idx="39">
                  <c:v>-3.7655525594537817E-2</c:v>
                </c:pt>
                <c:pt idx="40">
                  <c:v>3.5733989750234327E-2</c:v>
                </c:pt>
                <c:pt idx="41">
                  <c:v>4.8005958053493572E-2</c:v>
                </c:pt>
                <c:pt idx="42">
                  <c:v>0.10233895738171393</c:v>
                </c:pt>
                <c:pt idx="43">
                  <c:v>-1.7650342199199327E-2</c:v>
                </c:pt>
                <c:pt idx="44">
                  <c:v>-2.8520338174844048E-2</c:v>
                </c:pt>
                <c:pt idx="45">
                  <c:v>1.2459515328993438E-2</c:v>
                </c:pt>
                <c:pt idx="46">
                  <c:v>-1.1082457883340932E-2</c:v>
                </c:pt>
                <c:pt idx="47">
                  <c:v>-6.3974377161585355E-2</c:v>
                </c:pt>
                <c:pt idx="48">
                  <c:v>-4.7128234419471483E-2</c:v>
                </c:pt>
                <c:pt idx="49">
                  <c:v>5.0134487068805758E-2</c:v>
                </c:pt>
                <c:pt idx="50">
                  <c:v>-1.6879474856831292E-2</c:v>
                </c:pt>
                <c:pt idx="51">
                  <c:v>-9.5394056390775112E-2</c:v>
                </c:pt>
                <c:pt idx="52">
                  <c:v>7.3800381585145597E-2</c:v>
                </c:pt>
                <c:pt idx="53">
                  <c:v>5.330245236494572E-2</c:v>
                </c:pt>
                <c:pt idx="54">
                  <c:v>-3.7952095906630672E-2</c:v>
                </c:pt>
                <c:pt idx="55">
                  <c:v>1.0192468172630139E-2</c:v>
                </c:pt>
                <c:pt idx="56">
                  <c:v>-1.4577304513793849E-2</c:v>
                </c:pt>
                <c:pt idx="57">
                  <c:v>9.2096247725715202E-2</c:v>
                </c:pt>
                <c:pt idx="58">
                  <c:v>3.6144787296258321E-2</c:v>
                </c:pt>
                <c:pt idx="59">
                  <c:v>-3.2732719718655878E-2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9D-4674-9161-D53FEECD5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808720"/>
        <c:axId val="629803472"/>
      </c:scatterChart>
      <c:valAx>
        <c:axId val="62980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HML</a:t>
                </a:r>
              </a:p>
            </c:rich>
          </c:tx>
          <c:layout>
            <c:manualLayout>
              <c:xMode val="edge"/>
              <c:yMode val="edge"/>
              <c:x val="0.69281378307089803"/>
              <c:y val="0.6292007266121707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9803472"/>
        <c:crosses val="autoZero"/>
        <c:crossBetween val="midCat"/>
      </c:valAx>
      <c:valAx>
        <c:axId val="62980347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Monthly Excess Return</a:t>
                </a:r>
              </a:p>
            </c:rich>
          </c:tx>
          <c:layout>
            <c:manualLayout>
              <c:xMode val="edge"/>
              <c:yMode val="edge"/>
              <c:x val="0.15799771223222642"/>
              <c:y val="7.21210659892167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9808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Mkt-RF(Q2f) </a:t>
            </a:r>
            <a:endParaRPr lang="zh-TW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Monthly Excess Return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'Q2'!$G$2:$G$61</c:f>
              <c:numCache>
                <c:formatCode>General</c:formatCode>
                <c:ptCount val="60"/>
                <c:pt idx="0">
                  <c:v>4.7999999999999996E-3</c:v>
                </c:pt>
                <c:pt idx="1">
                  <c:v>3.1899999999999998E-2</c:v>
                </c:pt>
                <c:pt idx="2">
                  <c:v>3.44E-2</c:v>
                </c:pt>
                <c:pt idx="3">
                  <c:v>5.9999999999999995E-4</c:v>
                </c:pt>
                <c:pt idx="4">
                  <c:v>-7.6799999999999993E-2</c:v>
                </c:pt>
                <c:pt idx="5">
                  <c:v>1.6899999999999998E-2</c:v>
                </c:pt>
                <c:pt idx="6">
                  <c:v>-9.5700000000000007E-2</c:v>
                </c:pt>
                <c:pt idx="7">
                  <c:v>8.4000000000000005E-2</c:v>
                </c:pt>
                <c:pt idx="8">
                  <c:v>3.4000000000000002E-2</c:v>
                </c:pt>
                <c:pt idx="9">
                  <c:v>1.1000000000000001E-2</c:v>
                </c:pt>
                <c:pt idx="10">
                  <c:v>3.9700000000000006E-2</c:v>
                </c:pt>
                <c:pt idx="11">
                  <c:v>-6.9400000000000003E-2</c:v>
                </c:pt>
                <c:pt idx="12">
                  <c:v>6.93E-2</c:v>
                </c:pt>
                <c:pt idx="13">
                  <c:v>1.1899999999999999E-2</c:v>
                </c:pt>
                <c:pt idx="14">
                  <c:v>-2.58E-2</c:v>
                </c:pt>
                <c:pt idx="15">
                  <c:v>1.43E-2</c:v>
                </c:pt>
                <c:pt idx="16">
                  <c:v>2.06E-2</c:v>
                </c:pt>
                <c:pt idx="17">
                  <c:v>3.8700000000000005E-2</c:v>
                </c:pt>
                <c:pt idx="18">
                  <c:v>2.7700000000000002E-2</c:v>
                </c:pt>
                <c:pt idx="19">
                  <c:v>-1.1000000000000001E-3</c:v>
                </c:pt>
                <c:pt idx="20">
                  <c:v>-8.1300000000000011E-2</c:v>
                </c:pt>
                <c:pt idx="21">
                  <c:v>-0.13390000000000002</c:v>
                </c:pt>
                <c:pt idx="22">
                  <c:v>0.13650000000000001</c:v>
                </c:pt>
                <c:pt idx="23">
                  <c:v>5.5800000000000002E-2</c:v>
                </c:pt>
                <c:pt idx="24">
                  <c:v>2.46E-2</c:v>
                </c:pt>
                <c:pt idx="25">
                  <c:v>5.7699999999999994E-2</c:v>
                </c:pt>
                <c:pt idx="26">
                  <c:v>7.6300000000000007E-2</c:v>
                </c:pt>
                <c:pt idx="27">
                  <c:v>-3.6299999999999999E-2</c:v>
                </c:pt>
                <c:pt idx="28">
                  <c:v>-2.1000000000000001E-2</c:v>
                </c:pt>
                <c:pt idx="29">
                  <c:v>0.12470000000000001</c:v>
                </c:pt>
                <c:pt idx="30">
                  <c:v>4.6300000000000001E-2</c:v>
                </c:pt>
                <c:pt idx="31">
                  <c:v>-2.9999999999999997E-4</c:v>
                </c:pt>
                <c:pt idx="32">
                  <c:v>2.7799999999999998E-2</c:v>
                </c:pt>
                <c:pt idx="33">
                  <c:v>3.0800000000000001E-2</c:v>
                </c:pt>
                <c:pt idx="34">
                  <c:v>4.9299999999999997E-2</c:v>
                </c:pt>
                <c:pt idx="35">
                  <c:v>2.8999999999999998E-3</c:v>
                </c:pt>
                <c:pt idx="36">
                  <c:v>2.75E-2</c:v>
                </c:pt>
                <c:pt idx="37">
                  <c:v>1.2700000000000001E-2</c:v>
                </c:pt>
                <c:pt idx="38">
                  <c:v>2.9100000000000001E-2</c:v>
                </c:pt>
                <c:pt idx="39">
                  <c:v>-4.3700000000000003E-2</c:v>
                </c:pt>
                <c:pt idx="40">
                  <c:v>6.6500000000000004E-2</c:v>
                </c:pt>
                <c:pt idx="41">
                  <c:v>-1.5500000000000002E-2</c:v>
                </c:pt>
                <c:pt idx="42">
                  <c:v>3.1000000000000003E-2</c:v>
                </c:pt>
                <c:pt idx="43">
                  <c:v>-6.25E-2</c:v>
                </c:pt>
                <c:pt idx="44">
                  <c:v>-2.29E-2</c:v>
                </c:pt>
                <c:pt idx="45">
                  <c:v>3.0499999999999999E-2</c:v>
                </c:pt>
                <c:pt idx="46">
                  <c:v>-9.4600000000000017E-2</c:v>
                </c:pt>
                <c:pt idx="47">
                  <c:v>-3.4000000000000002E-3</c:v>
                </c:pt>
                <c:pt idx="48">
                  <c:v>-8.43E-2</c:v>
                </c:pt>
                <c:pt idx="49">
                  <c:v>9.5700000000000007E-2</c:v>
                </c:pt>
                <c:pt idx="50">
                  <c:v>-3.7700000000000004E-2</c:v>
                </c:pt>
                <c:pt idx="51">
                  <c:v>-9.35E-2</c:v>
                </c:pt>
                <c:pt idx="52">
                  <c:v>7.8300000000000008E-2</c:v>
                </c:pt>
                <c:pt idx="53">
                  <c:v>4.5999999999999999E-2</c:v>
                </c:pt>
                <c:pt idx="54">
                  <c:v>-6.4100000000000004E-2</c:v>
                </c:pt>
                <c:pt idx="55">
                  <c:v>6.6500000000000004E-2</c:v>
                </c:pt>
                <c:pt idx="56">
                  <c:v>-2.58E-2</c:v>
                </c:pt>
                <c:pt idx="57">
                  <c:v>2.5099999999999997E-2</c:v>
                </c:pt>
                <c:pt idx="58">
                  <c:v>6.1000000000000004E-3</c:v>
                </c:pt>
                <c:pt idx="59">
                  <c:v>3.4999999999999996E-3</c:v>
                </c:pt>
              </c:numCache>
            </c:numRef>
          </c:xVal>
          <c:yVal>
            <c:numRef>
              <c:f>'Q2'!$N$2:$N$61</c:f>
              <c:numCache>
                <c:formatCode>General</c:formatCode>
                <c:ptCount val="60"/>
                <c:pt idx="0">
                  <c:v>2.9726082000814759E-2</c:v>
                </c:pt>
                <c:pt idx="1">
                  <c:v>2.6728105665821258E-2</c:v>
                </c:pt>
                <c:pt idx="2">
                  <c:v>8.9814347800390285E-2</c:v>
                </c:pt>
                <c:pt idx="3">
                  <c:v>-2.0318665759510384E-3</c:v>
                </c:pt>
                <c:pt idx="4">
                  <c:v>2.3701554801104002E-2</c:v>
                </c:pt>
                <c:pt idx="5">
                  <c:v>-3.0508811611734448E-2</c:v>
                </c:pt>
                <c:pt idx="6">
                  <c:v>-5.5838605828653951E-2</c:v>
                </c:pt>
                <c:pt idx="7">
                  <c:v>4.7876949167213752E-2</c:v>
                </c:pt>
                <c:pt idx="8">
                  <c:v>2.9000943122077748E-2</c:v>
                </c:pt>
                <c:pt idx="9">
                  <c:v>6.5503864464478243E-2</c:v>
                </c:pt>
                <c:pt idx="10">
                  <c:v>3.1356185037236965E-2</c:v>
                </c:pt>
                <c:pt idx="11">
                  <c:v>-6.3406875963617382E-2</c:v>
                </c:pt>
                <c:pt idx="12">
                  <c:v>9.111873496378671E-2</c:v>
                </c:pt>
                <c:pt idx="13">
                  <c:v>6.8411672654329889E-2</c:v>
                </c:pt>
                <c:pt idx="14">
                  <c:v>1.0743183698771971E-2</c:v>
                </c:pt>
                <c:pt idx="15">
                  <c:v>4.3291665393925503E-2</c:v>
                </c:pt>
                <c:pt idx="16">
                  <c:v>4.2915125337710323E-2</c:v>
                </c:pt>
                <c:pt idx="17">
                  <c:v>1.7083819326341419E-2</c:v>
                </c:pt>
                <c:pt idx="18">
                  <c:v>5.276282093142301E-2</c:v>
                </c:pt>
                <c:pt idx="19">
                  <c:v>2.1550172675358512E-2</c:v>
                </c:pt>
                <c:pt idx="20">
                  <c:v>-9.2437882288637876E-2</c:v>
                </c:pt>
                <c:pt idx="21">
                  <c:v>-4.2475490927220728E-2</c:v>
                </c:pt>
                <c:pt idx="22">
                  <c:v>0.10335273434431563</c:v>
                </c:pt>
                <c:pt idx="23">
                  <c:v>2.7674983442722633E-2</c:v>
                </c:pt>
                <c:pt idx="24">
                  <c:v>7.608904508386706E-2</c:v>
                </c:pt>
                <c:pt idx="25">
                  <c:v>0.12334174864975102</c:v>
                </c:pt>
                <c:pt idx="26">
                  <c:v>0.11411452904499957</c:v>
                </c:pt>
                <c:pt idx="27">
                  <c:v>-3.9064010519707364E-2</c:v>
                </c:pt>
                <c:pt idx="28">
                  <c:v>-3.0584689051491098E-2</c:v>
                </c:pt>
                <c:pt idx="29">
                  <c:v>4.0991892467621346E-2</c:v>
                </c:pt>
                <c:pt idx="30">
                  <c:v>5.0686190172921732E-2</c:v>
                </c:pt>
                <c:pt idx="31">
                  <c:v>-4.7278724118632841E-2</c:v>
                </c:pt>
                <c:pt idx="32">
                  <c:v>-5.2329088576657884E-2</c:v>
                </c:pt>
                <c:pt idx="33">
                  <c:v>5.4544349702763409E-2</c:v>
                </c:pt>
                <c:pt idx="34">
                  <c:v>2.3682793483317682E-2</c:v>
                </c:pt>
                <c:pt idx="35">
                  <c:v>-4.2344284065292722E-3</c:v>
                </c:pt>
                <c:pt idx="36">
                  <c:v>3.2772803916683177E-2</c:v>
                </c:pt>
                <c:pt idx="37">
                  <c:v>5.5898739915860418E-2</c:v>
                </c:pt>
                <c:pt idx="38">
                  <c:v>1.9441816027370558E-2</c:v>
                </c:pt>
                <c:pt idx="39">
                  <c:v>-3.7655525594537817E-2</c:v>
                </c:pt>
                <c:pt idx="40">
                  <c:v>3.5733989750234327E-2</c:v>
                </c:pt>
                <c:pt idx="41">
                  <c:v>4.8005958053493572E-2</c:v>
                </c:pt>
                <c:pt idx="42">
                  <c:v>0.10233895738171393</c:v>
                </c:pt>
                <c:pt idx="43">
                  <c:v>-1.7650342199199327E-2</c:v>
                </c:pt>
                <c:pt idx="44">
                  <c:v>-2.8520338174844048E-2</c:v>
                </c:pt>
                <c:pt idx="45">
                  <c:v>1.2459515328993438E-2</c:v>
                </c:pt>
                <c:pt idx="46">
                  <c:v>-1.1082457883340932E-2</c:v>
                </c:pt>
                <c:pt idx="47">
                  <c:v>-6.3974377161585355E-2</c:v>
                </c:pt>
                <c:pt idx="48">
                  <c:v>-4.7128234419471483E-2</c:v>
                </c:pt>
                <c:pt idx="49">
                  <c:v>5.0134487068805758E-2</c:v>
                </c:pt>
                <c:pt idx="50">
                  <c:v>-1.6879474856831292E-2</c:v>
                </c:pt>
                <c:pt idx="51">
                  <c:v>-9.5394056390775112E-2</c:v>
                </c:pt>
                <c:pt idx="52">
                  <c:v>7.3800381585145597E-2</c:v>
                </c:pt>
                <c:pt idx="53">
                  <c:v>5.330245236494572E-2</c:v>
                </c:pt>
                <c:pt idx="54">
                  <c:v>-3.7952095906630672E-2</c:v>
                </c:pt>
                <c:pt idx="55">
                  <c:v>1.0192468172630139E-2</c:v>
                </c:pt>
                <c:pt idx="56">
                  <c:v>-1.4577304513793849E-2</c:v>
                </c:pt>
                <c:pt idx="57">
                  <c:v>9.2096247725715202E-2</c:v>
                </c:pt>
                <c:pt idx="58">
                  <c:v>3.6144787296258321E-2</c:v>
                </c:pt>
                <c:pt idx="59">
                  <c:v>-3.2732719718655878E-2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8-4243-948A-434D8FBC3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180192"/>
        <c:axId val="692174616"/>
      </c:scatterChart>
      <c:valAx>
        <c:axId val="69218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Mkt-RF</a:t>
                </a:r>
              </a:p>
            </c:rich>
          </c:tx>
          <c:layout>
            <c:manualLayout>
              <c:xMode val="edge"/>
              <c:yMode val="edge"/>
              <c:x val="0.48212319483900251"/>
              <c:y val="0.668097978407108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92174616"/>
        <c:crosses val="autoZero"/>
        <c:crossBetween val="midCat"/>
      </c:valAx>
      <c:valAx>
        <c:axId val="69217461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Monthly Excess Return</a:t>
                </a:r>
              </a:p>
            </c:rich>
          </c:tx>
          <c:layout>
            <c:manualLayout>
              <c:xMode val="edge"/>
              <c:yMode val="edge"/>
              <c:x val="0.11648677093380966"/>
              <c:y val="0.118156738500275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921801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214322</xdr:colOff>
      <xdr:row>73</xdr:row>
      <xdr:rowOff>132843</xdr:rowOff>
    </xdr:from>
    <xdr:to>
      <xdr:col>28</xdr:col>
      <xdr:colOff>58269</xdr:colOff>
      <xdr:row>106</xdr:row>
      <xdr:rowOff>46368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7216FCF-EC48-4B40-A3AA-1C71A450B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32296</xdr:colOff>
      <xdr:row>20</xdr:row>
      <xdr:rowOff>130583</xdr:rowOff>
    </xdr:from>
    <xdr:to>
      <xdr:col>24</xdr:col>
      <xdr:colOff>470489</xdr:colOff>
      <xdr:row>40</xdr:row>
      <xdr:rowOff>162749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1636D54-4CDF-438B-A77E-88EE8E602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891049</xdr:colOff>
      <xdr:row>20</xdr:row>
      <xdr:rowOff>46089</xdr:rowOff>
    </xdr:from>
    <xdr:to>
      <xdr:col>33</xdr:col>
      <xdr:colOff>522338</xdr:colOff>
      <xdr:row>40</xdr:row>
      <xdr:rowOff>161310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F63A625-68F6-439F-A012-ECAD45E12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891048</xdr:colOff>
      <xdr:row>41</xdr:row>
      <xdr:rowOff>84497</xdr:rowOff>
    </xdr:from>
    <xdr:to>
      <xdr:col>34</xdr:col>
      <xdr:colOff>576107</xdr:colOff>
      <xdr:row>58</xdr:row>
      <xdr:rowOff>130585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2633A08-36FF-46FF-8B65-DD314D2C2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986144</xdr:colOff>
      <xdr:row>64</xdr:row>
      <xdr:rowOff>161311</xdr:rowOff>
    </xdr:from>
    <xdr:to>
      <xdr:col>28</xdr:col>
      <xdr:colOff>473067</xdr:colOff>
      <xdr:row>88</xdr:row>
      <xdr:rowOff>69131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50A7A74-2545-4DDC-A0BC-F975F51B1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8039" y="13073832"/>
          <a:ext cx="10847792" cy="4701047"/>
        </a:xfrm>
        <a:prstGeom prst="rect">
          <a:avLst/>
        </a:prstGeom>
      </xdr:spPr>
    </xdr:pic>
    <xdr:clientData/>
  </xdr:twoCellAnchor>
  <xdr:twoCellAnchor>
    <xdr:from>
      <xdr:col>33</xdr:col>
      <xdr:colOff>632520</xdr:colOff>
      <xdr:row>20</xdr:row>
      <xdr:rowOff>37206</xdr:rowOff>
    </xdr:from>
    <xdr:to>
      <xdr:col>43</xdr:col>
      <xdr:colOff>409278</xdr:colOff>
      <xdr:row>40</xdr:row>
      <xdr:rowOff>126503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6E86E60B-F7E0-4EAD-A9DF-FAC38792D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B1BC6-38DA-4BC6-A783-FB32D08EE6DA}" name="Table1" displayName="Table1" ref="B72:H78" totalsRowShown="0" headerRowDxfId="9" dataDxfId="8" tableBorderDxfId="7">
  <autoFilter ref="B72:H78" xr:uid="{CE8B1BC6-38DA-4BC6-A783-FB32D08EE6DA}"/>
  <tableColumns count="7">
    <tableColumn id="1" xr3:uid="{6C78B36A-CBB6-45F1-B981-62D043BE529C}" name="TICKER" dataDxfId="6"/>
    <tableColumn id="2" xr3:uid="{F8015F6C-CA8D-4417-AD35-41C07BC691BA}" name="AAPL" dataDxfId="5"/>
    <tableColumn id="3" xr3:uid="{62A9E13F-710C-47E2-B836-AF14861590F9}" name="AMZN" dataDxfId="4"/>
    <tableColumn id="4" xr3:uid="{B5175365-5D64-49F2-BD1F-72CA4100A815}" name="GLD" dataDxfId="3"/>
    <tableColumn id="5" xr3:uid="{EE9786EC-72A5-44F8-A92C-BD4B3863CD53}" name="PG" dataDxfId="2"/>
    <tableColumn id="6" xr3:uid="{4BE3AC9D-B11E-43AE-B4E2-30EE7244F564}" name="SHV" dataDxfId="1"/>
    <tableColumn id="7" xr3:uid="{85BF605D-1A4A-409C-A4BC-B11FAD975411}" name="TG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3B3D-5286-3D47-A186-38530FDAD254}">
  <dimension ref="A1:W133"/>
  <sheetViews>
    <sheetView tabSelected="1" zoomScale="47" zoomScaleNormal="47" workbookViewId="0">
      <selection activeCell="H106" sqref="H106"/>
    </sheetView>
  </sheetViews>
  <sheetFormatPr defaultColWidth="11" defaultRowHeight="15.75"/>
  <cols>
    <col min="1" max="1" width="12.1875" style="5" bestFit="1" customWidth="1"/>
    <col min="2" max="2" width="11.3125" style="1" customWidth="1"/>
    <col min="3" max="3" width="16.3125" style="1" bestFit="1" customWidth="1"/>
    <col min="4" max="4" width="22.1875" style="1" bestFit="1" customWidth="1"/>
    <col min="5" max="5" width="28.3125" style="1" bestFit="1" customWidth="1"/>
    <col min="6" max="8" width="34.3125" style="1" bestFit="1" customWidth="1"/>
    <col min="9" max="9" width="33.6875" style="1" bestFit="1" customWidth="1"/>
    <col min="10" max="11" width="34.3125" style="1" bestFit="1" customWidth="1"/>
    <col min="12" max="12" width="17.3125" style="1" bestFit="1" customWidth="1"/>
    <col min="13" max="13" width="16.625" style="1" bestFit="1" customWidth="1"/>
    <col min="14" max="14" width="17.6875" bestFit="1" customWidth="1"/>
    <col min="15" max="15" width="15" style="2" bestFit="1" customWidth="1"/>
    <col min="16" max="16" width="11.1875" style="3" bestFit="1" customWidth="1"/>
    <col min="18" max="19" width="11.3125" bestFit="1" customWidth="1"/>
  </cols>
  <sheetData>
    <row r="1" spans="1:14" ht="18">
      <c r="A1" s="105" t="s">
        <v>110</v>
      </c>
      <c r="B1" s="106"/>
      <c r="C1" s="106"/>
      <c r="D1" s="106"/>
      <c r="E1" s="106"/>
      <c r="F1" s="106"/>
      <c r="G1" s="106"/>
      <c r="H1" s="105" t="s">
        <v>111</v>
      </c>
      <c r="I1" s="106"/>
      <c r="J1" s="106"/>
      <c r="K1" s="106"/>
      <c r="L1" s="106"/>
      <c r="M1" s="106"/>
    </row>
    <row r="2" spans="1:14">
      <c r="A2" s="48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50" t="s">
        <v>12</v>
      </c>
    </row>
    <row r="3" spans="1:14">
      <c r="A3" s="51">
        <v>43221</v>
      </c>
      <c r="B3" s="49">
        <v>44.415279388427699</v>
      </c>
      <c r="C3" s="49">
        <v>81.481002807617102</v>
      </c>
      <c r="D3" s="49">
        <v>123.09999847412099</v>
      </c>
      <c r="E3" s="49">
        <v>63.731494903564403</v>
      </c>
      <c r="F3" s="49">
        <v>101.24386596679599</v>
      </c>
      <c r="G3" s="49">
        <v>63.868827819824197</v>
      </c>
      <c r="H3" s="49"/>
      <c r="I3" s="49"/>
      <c r="J3" s="49"/>
      <c r="K3" s="49"/>
      <c r="L3" s="49"/>
      <c r="M3" s="50"/>
      <c r="N3" s="4"/>
    </row>
    <row r="4" spans="1:14">
      <c r="A4" s="51">
        <v>43252</v>
      </c>
      <c r="B4" s="49">
        <v>44.166622161865199</v>
      </c>
      <c r="C4" s="49">
        <v>84.989997863769503</v>
      </c>
      <c r="D4" s="49">
        <v>118.650001525878</v>
      </c>
      <c r="E4" s="49">
        <v>67.990707397460895</v>
      </c>
      <c r="F4" s="49">
        <v>101.3843460083</v>
      </c>
      <c r="G4" s="49">
        <v>67.271194458007798</v>
      </c>
      <c r="H4" s="49">
        <f>(B4-B3)/B3</f>
        <v>-5.5984613850540606E-3</v>
      </c>
      <c r="I4" s="49">
        <f t="shared" ref="I4:M19" si="0">(C4-C3)/C3</f>
        <v>4.3065192317740704E-2</v>
      </c>
      <c r="J4" s="49">
        <f t="shared" si="0"/>
        <v>-3.6149447631215928E-2</v>
      </c>
      <c r="K4" s="49">
        <f t="shared" si="0"/>
        <v>6.6830575688540464E-2</v>
      </c>
      <c r="L4" s="49">
        <f t="shared" si="0"/>
        <v>1.3875412615128471E-3</v>
      </c>
      <c r="M4" s="49">
        <f t="shared" si="0"/>
        <v>5.3271161446422272E-2</v>
      </c>
      <c r="N4" s="4"/>
    </row>
    <row r="5" spans="1:14">
      <c r="A5" s="51">
        <v>43282</v>
      </c>
      <c r="B5" s="49">
        <v>45.402557373046797</v>
      </c>
      <c r="C5" s="49">
        <v>88.872001647949205</v>
      </c>
      <c r="D5" s="49">
        <v>115.98999786376901</v>
      </c>
      <c r="E5" s="49">
        <v>70.446937561035099</v>
      </c>
      <c r="F5" s="49">
        <v>101.50203704833901</v>
      </c>
      <c r="G5" s="49">
        <v>71.301109313964801</v>
      </c>
      <c r="H5" s="49">
        <f t="shared" ref="H5:M63" si="1">(B5-B4)/B4</f>
        <v>2.7983466941439366E-2</v>
      </c>
      <c r="I5" s="49">
        <f t="shared" si="0"/>
        <v>4.5676007550937543E-2</v>
      </c>
      <c r="J5" s="49">
        <f t="shared" si="0"/>
        <v>-2.2418909632536625E-2</v>
      </c>
      <c r="K5" s="49">
        <f t="shared" si="0"/>
        <v>3.6125968644737654E-2</v>
      </c>
      <c r="L5" s="49">
        <f t="shared" si="0"/>
        <v>1.1608403532964613E-3</v>
      </c>
      <c r="M5" s="49">
        <f t="shared" si="0"/>
        <v>5.9905504702649021E-2</v>
      </c>
      <c r="N5" s="4"/>
    </row>
    <row r="6" spans="1:14">
      <c r="A6" s="51">
        <v>43313</v>
      </c>
      <c r="B6" s="49">
        <v>54.311756134033203</v>
      </c>
      <c r="C6" s="49">
        <v>100.635498046875</v>
      </c>
      <c r="D6" s="49">
        <v>113.51000213623</v>
      </c>
      <c r="E6" s="49">
        <v>72.9056396484375</v>
      </c>
      <c r="F6" s="49">
        <v>101.668617248535</v>
      </c>
      <c r="G6" s="49">
        <v>77.328300476074205</v>
      </c>
      <c r="H6" s="49">
        <f t="shared" si="1"/>
        <v>0.19622680475429227</v>
      </c>
      <c r="I6" s="49">
        <f t="shared" si="0"/>
        <v>0.13236448128539757</v>
      </c>
      <c r="J6" s="49">
        <f t="shared" si="0"/>
        <v>-2.1381117106767916E-2</v>
      </c>
      <c r="K6" s="49">
        <f t="shared" si="0"/>
        <v>3.4901475813227306E-2</v>
      </c>
      <c r="L6" s="49">
        <f t="shared" si="0"/>
        <v>1.6411513013937149E-3</v>
      </c>
      <c r="M6" s="49">
        <f t="shared" si="0"/>
        <v>8.453152019794645E-2</v>
      </c>
      <c r="N6" s="4"/>
    </row>
    <row r="7" spans="1:14">
      <c r="A7" s="51">
        <v>43344</v>
      </c>
      <c r="B7" s="49">
        <v>54.049709320068303</v>
      </c>
      <c r="C7" s="49">
        <v>100.150001525878</v>
      </c>
      <c r="D7" s="49">
        <v>112.76000213623</v>
      </c>
      <c r="E7" s="49">
        <v>73.1517333984375</v>
      </c>
      <c r="F7" s="49">
        <v>101.80233764648401</v>
      </c>
      <c r="G7" s="49">
        <v>78.568527221679602</v>
      </c>
      <c r="H7" s="49">
        <f t="shared" si="1"/>
        <v>-4.8248635768324017E-3</v>
      </c>
      <c r="I7" s="49">
        <f t="shared" si="0"/>
        <v>-4.8243068342630341E-3</v>
      </c>
      <c r="J7" s="49">
        <f t="shared" si="0"/>
        <v>-6.6073472459271133E-3</v>
      </c>
      <c r="K7" s="49">
        <f t="shared" si="0"/>
        <v>3.3755104706124643E-3</v>
      </c>
      <c r="L7" s="49">
        <f t="shared" si="0"/>
        <v>1.3152573681819444E-3</v>
      </c>
      <c r="M7" s="49">
        <f t="shared" si="0"/>
        <v>1.6038458597562616E-2</v>
      </c>
      <c r="N7" s="4"/>
    </row>
    <row r="8" spans="1:14">
      <c r="A8" s="51">
        <v>43374</v>
      </c>
      <c r="B8" s="49">
        <v>52.402408599853501</v>
      </c>
      <c r="C8" s="49">
        <v>79.900497436523395</v>
      </c>
      <c r="D8" s="49">
        <v>115.150001525878</v>
      </c>
      <c r="E8" s="49">
        <v>77.941802978515597</v>
      </c>
      <c r="F8" s="49">
        <v>101.9712600708</v>
      </c>
      <c r="G8" s="49">
        <v>74.4891357421875</v>
      </c>
      <c r="H8" s="49">
        <f t="shared" si="1"/>
        <v>-3.0477513032677296E-2</v>
      </c>
      <c r="I8" s="49">
        <f t="shared" si="0"/>
        <v>-0.20219175018307198</v>
      </c>
      <c r="J8" s="49">
        <f t="shared" si="0"/>
        <v>2.1195453568372057E-2</v>
      </c>
      <c r="K8" s="49">
        <f t="shared" si="0"/>
        <v>6.5481286054944132E-2</v>
      </c>
      <c r="L8" s="49">
        <f t="shared" si="0"/>
        <v>1.6593177349481846E-3</v>
      </c>
      <c r="M8" s="49">
        <f t="shared" si="0"/>
        <v>-5.1921445186088024E-2</v>
      </c>
      <c r="N8" s="4"/>
    </row>
    <row r="9" spans="1:14">
      <c r="A9" s="51">
        <v>43405</v>
      </c>
      <c r="B9" s="49">
        <v>42.758010864257798</v>
      </c>
      <c r="C9" s="49">
        <v>84.508499145507798</v>
      </c>
      <c r="D9" s="49">
        <v>115.540000915527</v>
      </c>
      <c r="E9" s="49">
        <v>83.799842834472599</v>
      </c>
      <c r="F9" s="49">
        <v>102.158058166503</v>
      </c>
      <c r="G9" s="49">
        <v>63.203987121582003</v>
      </c>
      <c r="H9" s="49">
        <f t="shared" si="1"/>
        <v>-0.18404493215647086</v>
      </c>
      <c r="I9" s="49">
        <f t="shared" si="0"/>
        <v>5.7671752452420094E-2</v>
      </c>
      <c r="J9" s="49">
        <f t="shared" si="0"/>
        <v>3.3868813241948611E-3</v>
      </c>
      <c r="K9" s="49">
        <f t="shared" si="0"/>
        <v>7.5159152497046453E-2</v>
      </c>
      <c r="L9" s="49">
        <f t="shared" si="0"/>
        <v>1.8318700344910979E-3</v>
      </c>
      <c r="M9" s="49">
        <f t="shared" si="0"/>
        <v>-0.15150059814983283</v>
      </c>
      <c r="N9" s="4"/>
    </row>
    <row r="10" spans="1:14">
      <c r="A10" s="51">
        <v>43435</v>
      </c>
      <c r="B10" s="49">
        <v>37.900012969970703</v>
      </c>
      <c r="C10" s="49">
        <v>75.098503112792898</v>
      </c>
      <c r="D10" s="49">
        <v>121.25</v>
      </c>
      <c r="E10" s="49">
        <v>81.503341674804602</v>
      </c>
      <c r="F10" s="49">
        <v>102.17290496826099</v>
      </c>
      <c r="G10" s="49">
        <v>59.354606628417898</v>
      </c>
      <c r="H10" s="49">
        <f t="shared" si="1"/>
        <v>-0.11361608728033662</v>
      </c>
      <c r="I10" s="49">
        <f t="shared" si="0"/>
        <v>-0.11134970006404504</v>
      </c>
      <c r="J10" s="49">
        <f t="shared" si="0"/>
        <v>4.9420105930652207E-2</v>
      </c>
      <c r="K10" s="49">
        <f t="shared" si="0"/>
        <v>-2.7404599841603632E-2</v>
      </c>
      <c r="L10" s="49">
        <f t="shared" si="0"/>
        <v>1.4533167548857556E-4</v>
      </c>
      <c r="M10" s="49">
        <f t="shared" si="0"/>
        <v>-6.090407691779421E-2</v>
      </c>
      <c r="N10" s="4"/>
    </row>
    <row r="11" spans="1:14">
      <c r="A11" s="51">
        <v>43466</v>
      </c>
      <c r="B11" s="49">
        <v>39.990348815917898</v>
      </c>
      <c r="C11" s="49">
        <v>85.936500549316406</v>
      </c>
      <c r="D11" s="49">
        <v>124.75</v>
      </c>
      <c r="E11" s="49">
        <v>85.537727355957003</v>
      </c>
      <c r="F11" s="49">
        <v>102.786643981933</v>
      </c>
      <c r="G11" s="49">
        <v>65.560379028320298</v>
      </c>
      <c r="H11" s="49">
        <f t="shared" si="1"/>
        <v>5.5153961229602463E-2</v>
      </c>
      <c r="I11" s="49">
        <f t="shared" si="0"/>
        <v>0.14431709005232191</v>
      </c>
      <c r="J11" s="49">
        <f t="shared" si="0"/>
        <v>2.88659793814433E-2</v>
      </c>
      <c r="K11" s="49">
        <f t="shared" si="0"/>
        <v>4.9499635208203538E-2</v>
      </c>
      <c r="L11" s="49">
        <f t="shared" si="0"/>
        <v>6.0068666332101931E-3</v>
      </c>
      <c r="M11" s="49">
        <f t="shared" si="0"/>
        <v>0.10455418294241024</v>
      </c>
      <c r="N11" s="4"/>
    </row>
    <row r="12" spans="1:14">
      <c r="A12" s="51">
        <v>43497</v>
      </c>
      <c r="B12" s="49">
        <v>41.602535247802699</v>
      </c>
      <c r="C12" s="49">
        <v>81.991500854492102</v>
      </c>
      <c r="D12" s="49">
        <v>123.98999786376901</v>
      </c>
      <c r="E12" s="49">
        <v>88.073127746582003</v>
      </c>
      <c r="F12" s="49">
        <v>102.75875854492099</v>
      </c>
      <c r="G12" s="49">
        <v>65.237083435058594</v>
      </c>
      <c r="H12" s="49">
        <f t="shared" si="1"/>
        <v>4.0314387836574227E-2</v>
      </c>
      <c r="I12" s="49">
        <f t="shared" si="0"/>
        <v>-4.590598487961918E-2</v>
      </c>
      <c r="J12" s="49">
        <f t="shared" si="0"/>
        <v>-6.092201492833624E-3</v>
      </c>
      <c r="K12" s="49">
        <f t="shared" si="0"/>
        <v>2.9640726600955573E-2</v>
      </c>
      <c r="L12" s="49">
        <f t="shared" si="0"/>
        <v>-2.7129436210510425E-4</v>
      </c>
      <c r="M12" s="49">
        <f t="shared" si="0"/>
        <v>-4.9312648592536304E-3</v>
      </c>
      <c r="N12" s="4"/>
    </row>
    <row r="13" spans="1:14">
      <c r="A13" s="51">
        <v>43525</v>
      </c>
      <c r="B13" s="49">
        <v>45.834808349609297</v>
      </c>
      <c r="C13" s="49">
        <v>89.037498474121094</v>
      </c>
      <c r="D13" s="49">
        <v>122.01000213623</v>
      </c>
      <c r="E13" s="49">
        <v>92.988433837890597</v>
      </c>
      <c r="F13" s="49">
        <v>102.980377197265</v>
      </c>
      <c r="G13" s="49">
        <v>72.719459533691406</v>
      </c>
      <c r="H13" s="49">
        <f t="shared" si="1"/>
        <v>0.10173113433105334</v>
      </c>
      <c r="I13" s="49">
        <f t="shared" si="0"/>
        <v>8.5935707313533824E-2</v>
      </c>
      <c r="J13" s="49">
        <f t="shared" si="0"/>
        <v>-1.5968995577485837E-2</v>
      </c>
      <c r="K13" s="49">
        <f t="shared" si="0"/>
        <v>5.5809373608845747E-2</v>
      </c>
      <c r="L13" s="49">
        <f t="shared" si="0"/>
        <v>2.1566886899195576E-3</v>
      </c>
      <c r="M13" s="49">
        <f t="shared" si="0"/>
        <v>0.11469513510795246</v>
      </c>
      <c r="N13" s="4"/>
    </row>
    <row r="14" spans="1:14">
      <c r="A14" s="51">
        <v>43556</v>
      </c>
      <c r="B14" s="49">
        <v>48.421535491943303</v>
      </c>
      <c r="C14" s="49">
        <v>96.325996398925696</v>
      </c>
      <c r="D14" s="49">
        <v>121.199996948242</v>
      </c>
      <c r="E14" s="49">
        <v>95.160087585449205</v>
      </c>
      <c r="F14" s="49">
        <v>103.17171478271401</v>
      </c>
      <c r="G14" s="49">
        <v>70.146270751953097</v>
      </c>
      <c r="H14" s="49">
        <f t="shared" si="1"/>
        <v>5.6435866876621409E-2</v>
      </c>
      <c r="I14" s="49">
        <f t="shared" si="0"/>
        <v>8.1858745469169006E-2</v>
      </c>
      <c r="J14" s="49">
        <f t="shared" si="0"/>
        <v>-6.6388425031218955E-3</v>
      </c>
      <c r="K14" s="49">
        <f t="shared" si="0"/>
        <v>2.3354020042369077E-2</v>
      </c>
      <c r="L14" s="49">
        <f t="shared" si="0"/>
        <v>1.8580004332523188E-3</v>
      </c>
      <c r="M14" s="49">
        <f t="shared" si="0"/>
        <v>-3.5385147225222902E-2</v>
      </c>
      <c r="N14" s="4"/>
    </row>
    <row r="15" spans="1:14">
      <c r="A15" s="51">
        <v>43586</v>
      </c>
      <c r="B15" s="49">
        <v>42.244270324707003</v>
      </c>
      <c r="C15" s="49">
        <v>88.753501892089801</v>
      </c>
      <c r="D15" s="49">
        <v>123.33000183105401</v>
      </c>
      <c r="E15" s="49">
        <v>92.618873596191406</v>
      </c>
      <c r="F15" s="49">
        <v>103.42414855957</v>
      </c>
      <c r="G15" s="49">
        <v>72.891586303710895</v>
      </c>
      <c r="H15" s="49">
        <f t="shared" si="1"/>
        <v>-0.1275726823711345</v>
      </c>
      <c r="I15" s="49">
        <f t="shared" si="0"/>
        <v>-7.8613196747792477E-2</v>
      </c>
      <c r="J15" s="49">
        <f t="shared" si="0"/>
        <v>1.7574298155482736E-2</v>
      </c>
      <c r="K15" s="49">
        <f t="shared" si="0"/>
        <v>-2.6704620116873155E-2</v>
      </c>
      <c r="L15" s="49">
        <f t="shared" si="0"/>
        <v>2.4467343339948907E-3</v>
      </c>
      <c r="M15" s="49">
        <f t="shared" si="0"/>
        <v>3.9137013590724065E-2</v>
      </c>
      <c r="N15" s="4"/>
    </row>
    <row r="16" spans="1:14">
      <c r="A16" s="51">
        <v>43617</v>
      </c>
      <c r="B16" s="49">
        <v>47.941871643066399</v>
      </c>
      <c r="C16" s="49">
        <v>94.681503295898395</v>
      </c>
      <c r="D16" s="49">
        <v>133.19999694824199</v>
      </c>
      <c r="E16" s="49">
        <v>98.684860229492102</v>
      </c>
      <c r="F16" s="49">
        <v>103.665962219238</v>
      </c>
      <c r="G16" s="49">
        <v>79.179817199707003</v>
      </c>
      <c r="H16" s="49">
        <f t="shared" si="1"/>
        <v>0.13487275965628634</v>
      </c>
      <c r="I16" s="49">
        <f t="shared" si="0"/>
        <v>6.6791746550080966E-2</v>
      </c>
      <c r="J16" s="49">
        <f t="shared" si="0"/>
        <v>8.0029149198494201E-2</v>
      </c>
      <c r="K16" s="49">
        <f t="shared" si="0"/>
        <v>6.5494066141937368E-2</v>
      </c>
      <c r="L16" s="49">
        <f t="shared" si="0"/>
        <v>2.3380773546201146E-3</v>
      </c>
      <c r="M16" s="49">
        <f t="shared" si="0"/>
        <v>8.6268267914975744E-2</v>
      </c>
      <c r="N16" s="4"/>
    </row>
    <row r="17" spans="1:14">
      <c r="A17" s="51">
        <v>43647</v>
      </c>
      <c r="B17" s="49">
        <v>51.604366302490199</v>
      </c>
      <c r="C17" s="49">
        <v>93.338996887207003</v>
      </c>
      <c r="D17" s="49">
        <v>133.21000671386699</v>
      </c>
      <c r="E17" s="49">
        <v>106.23584747314401</v>
      </c>
      <c r="F17" s="49">
        <v>103.845329284667</v>
      </c>
      <c r="G17" s="49">
        <v>78.987831115722599</v>
      </c>
      <c r="H17" s="49">
        <f t="shared" si="1"/>
        <v>7.6394486362392336E-2</v>
      </c>
      <c r="I17" s="49">
        <f t="shared" si="0"/>
        <v>-1.4179183493694585E-2</v>
      </c>
      <c r="J17" s="49">
        <f t="shared" si="0"/>
        <v>7.5148392299810115E-5</v>
      </c>
      <c r="K17" s="49">
        <f t="shared" si="0"/>
        <v>7.6516166979332459E-2</v>
      </c>
      <c r="L17" s="49">
        <f t="shared" si="0"/>
        <v>1.7302406844945969E-3</v>
      </c>
      <c r="M17" s="49">
        <f t="shared" si="0"/>
        <v>-2.4246846074445576E-3</v>
      </c>
      <c r="N17" s="4"/>
    </row>
    <row r="18" spans="1:14">
      <c r="A18" s="51">
        <v>43678</v>
      </c>
      <c r="B18" s="49">
        <v>50.562786102294901</v>
      </c>
      <c r="C18" s="49">
        <v>88.814498901367102</v>
      </c>
      <c r="D18" s="49">
        <v>143.75</v>
      </c>
      <c r="E18" s="49">
        <v>108.907623291015</v>
      </c>
      <c r="F18" s="49">
        <v>104.079475402832</v>
      </c>
      <c r="G18" s="49">
        <v>97.857170104980398</v>
      </c>
      <c r="H18" s="49">
        <f t="shared" si="1"/>
        <v>-2.0183954863234824E-2</v>
      </c>
      <c r="I18" s="49">
        <f t="shared" si="0"/>
        <v>-4.8473822697145633E-2</v>
      </c>
      <c r="J18" s="49">
        <f t="shared" si="0"/>
        <v>7.9123134561300282E-2</v>
      </c>
      <c r="K18" s="49">
        <f t="shared" si="0"/>
        <v>2.5149475261129803E-2</v>
      </c>
      <c r="L18" s="49">
        <f t="shared" si="0"/>
        <v>2.2547583004252905E-3</v>
      </c>
      <c r="M18" s="49">
        <f t="shared" si="0"/>
        <v>0.23888918992614092</v>
      </c>
      <c r="N18" s="4"/>
    </row>
    <row r="19" spans="1:14">
      <c r="A19" s="51">
        <v>43709</v>
      </c>
      <c r="B19" s="49">
        <v>54.458057403564403</v>
      </c>
      <c r="C19" s="49">
        <v>86.795501708984304</v>
      </c>
      <c r="D19" s="49">
        <v>138.86999511718699</v>
      </c>
      <c r="E19" s="49">
        <v>112.666786193847</v>
      </c>
      <c r="F19" s="49">
        <v>104.23973083496</v>
      </c>
      <c r="G19" s="49">
        <v>98.489082336425696</v>
      </c>
      <c r="H19" s="49">
        <f t="shared" si="1"/>
        <v>7.7038304285465542E-2</v>
      </c>
      <c r="I19" s="49">
        <f t="shared" si="0"/>
        <v>-2.2732743159706328E-2</v>
      </c>
      <c r="J19" s="49">
        <f t="shared" si="0"/>
        <v>-3.3947860054351388E-2</v>
      </c>
      <c r="K19" s="49">
        <f t="shared" si="0"/>
        <v>3.4516985948605659E-2</v>
      </c>
      <c r="L19" s="49">
        <f t="shared" si="0"/>
        <v>1.5397409672535322E-3</v>
      </c>
      <c r="M19" s="49">
        <f t="shared" si="0"/>
        <v>6.4574954575877053E-3</v>
      </c>
      <c r="N19" s="4"/>
    </row>
    <row r="20" spans="1:14">
      <c r="A20" s="51">
        <v>43739</v>
      </c>
      <c r="B20" s="49">
        <v>60.485725402832003</v>
      </c>
      <c r="C20" s="49">
        <v>88.833000183105398</v>
      </c>
      <c r="D20" s="49">
        <v>142.42999267578099</v>
      </c>
      <c r="E20" s="49">
        <v>112.78456115722599</v>
      </c>
      <c r="F20" s="49">
        <v>104.520988464355</v>
      </c>
      <c r="G20" s="49">
        <v>98.489082336425696</v>
      </c>
      <c r="H20" s="49">
        <f t="shared" si="1"/>
        <v>0.1106845944687163</v>
      </c>
      <c r="I20" s="49">
        <f t="shared" si="1"/>
        <v>2.3474701269111851E-2</v>
      </c>
      <c r="J20" s="49">
        <f t="shared" si="1"/>
        <v>2.5635469747009514E-2</v>
      </c>
      <c r="K20" s="49">
        <f t="shared" si="1"/>
        <v>1.0453388026561415E-3</v>
      </c>
      <c r="L20" s="49">
        <f t="shared" si="1"/>
        <v>2.6981806950394753E-3</v>
      </c>
      <c r="M20" s="49">
        <f t="shared" si="1"/>
        <v>0</v>
      </c>
      <c r="N20" s="4"/>
    </row>
    <row r="21" spans="1:14">
      <c r="A21" s="51">
        <v>43770</v>
      </c>
      <c r="B21" s="49">
        <v>64.981536865234304</v>
      </c>
      <c r="C21" s="49">
        <v>90.040000915527301</v>
      </c>
      <c r="D21" s="49">
        <v>137.86000061035099</v>
      </c>
      <c r="E21" s="49">
        <v>111.27154541015599</v>
      </c>
      <c r="F21" s="49">
        <v>104.60057067871</v>
      </c>
      <c r="G21" s="49">
        <v>115.16341400146401</v>
      </c>
      <c r="H21" s="49">
        <f t="shared" si="1"/>
        <v>7.4328470601293356E-2</v>
      </c>
      <c r="I21" s="49">
        <f t="shared" si="1"/>
        <v>1.3587301227404177E-2</v>
      </c>
      <c r="J21" s="49">
        <f t="shared" si="1"/>
        <v>-3.2085882892887968E-2</v>
      </c>
      <c r="K21" s="49">
        <f t="shared" si="1"/>
        <v>-1.3415096282201231E-2</v>
      </c>
      <c r="L21" s="49">
        <f t="shared" si="1"/>
        <v>7.6139936604349917E-4</v>
      </c>
      <c r="M21" s="49">
        <f t="shared" si="1"/>
        <v>0.1693013202019793</v>
      </c>
      <c r="N21" s="4"/>
    </row>
    <row r="22" spans="1:14">
      <c r="A22" s="51">
        <v>43800</v>
      </c>
      <c r="B22" s="49">
        <v>71.615036010742102</v>
      </c>
      <c r="C22" s="49">
        <v>92.391998291015597</v>
      </c>
      <c r="D22" s="49">
        <v>142.89999389648401</v>
      </c>
      <c r="E22" s="49">
        <v>113.860542297363</v>
      </c>
      <c r="F22" s="49">
        <v>104.634506225585</v>
      </c>
      <c r="G22" s="49">
        <v>118.81175994873</v>
      </c>
      <c r="H22" s="49">
        <f t="shared" si="1"/>
        <v>0.10208282945454279</v>
      </c>
      <c r="I22" s="49">
        <f t="shared" si="1"/>
        <v>2.6121694264473246E-2</v>
      </c>
      <c r="J22" s="49">
        <f t="shared" si="1"/>
        <v>3.6558778933841032E-2</v>
      </c>
      <c r="K22" s="49">
        <f t="shared" si="1"/>
        <v>2.3267376018403889E-2</v>
      </c>
      <c r="L22" s="49">
        <f t="shared" si="1"/>
        <v>3.2442984445310596E-4</v>
      </c>
      <c r="M22" s="49">
        <f t="shared" si="1"/>
        <v>3.167973074521406E-2</v>
      </c>
      <c r="N22" s="4"/>
    </row>
    <row r="23" spans="1:14">
      <c r="A23" s="51">
        <v>43831</v>
      </c>
      <c r="B23" s="49">
        <v>75.482948303222599</v>
      </c>
      <c r="C23" s="49">
        <v>100.435997009277</v>
      </c>
      <c r="D23" s="49">
        <v>149.33000183105401</v>
      </c>
      <c r="E23" s="49">
        <v>113.605293273925</v>
      </c>
      <c r="F23" s="49">
        <v>105.117553710937</v>
      </c>
      <c r="G23" s="49">
        <v>102.62236785888599</v>
      </c>
      <c r="H23" s="49">
        <f t="shared" si="1"/>
        <v>5.4009779341594115E-2</v>
      </c>
      <c r="I23" s="49">
        <f t="shared" si="1"/>
        <v>8.7063802786519262E-2</v>
      </c>
      <c r="J23" s="49">
        <f t="shared" si="1"/>
        <v>4.4996558496901429E-2</v>
      </c>
      <c r="K23" s="49">
        <f t="shared" si="1"/>
        <v>-2.2417689068384926E-3</v>
      </c>
      <c r="L23" s="49">
        <f t="shared" si="1"/>
        <v>4.6165218604901229E-3</v>
      </c>
      <c r="M23" s="49">
        <f t="shared" si="1"/>
        <v>-0.13626085580105959</v>
      </c>
      <c r="N23" s="4"/>
    </row>
    <row r="24" spans="1:14">
      <c r="A24" s="51">
        <v>43862</v>
      </c>
      <c r="B24" s="49">
        <v>66.666740417480398</v>
      </c>
      <c r="C24" s="49">
        <v>94.1875</v>
      </c>
      <c r="D24" s="49">
        <v>148.38000488281199</v>
      </c>
      <c r="E24" s="49">
        <v>103.83526611328099</v>
      </c>
      <c r="F24" s="49">
        <v>105.193557739257</v>
      </c>
      <c r="G24" s="49">
        <v>95.449745178222599</v>
      </c>
      <c r="H24" s="49">
        <f t="shared" si="1"/>
        <v>-0.11679734408792046</v>
      </c>
      <c r="I24" s="49">
        <f t="shared" si="1"/>
        <v>-6.221372013362745E-2</v>
      </c>
      <c r="J24" s="49">
        <f t="shared" si="1"/>
        <v>-6.3617286318445607E-3</v>
      </c>
      <c r="K24" s="49">
        <f t="shared" si="1"/>
        <v>-8.5999752996425288E-2</v>
      </c>
      <c r="L24" s="49">
        <f t="shared" si="1"/>
        <v>7.2303840449905736E-4</v>
      </c>
      <c r="M24" s="49">
        <f t="shared" si="1"/>
        <v>-6.9893365650326125E-2</v>
      </c>
      <c r="N24" s="4"/>
    </row>
    <row r="25" spans="1:14">
      <c r="A25" s="51">
        <v>43891</v>
      </c>
      <c r="B25" s="49">
        <v>62.163143157958899</v>
      </c>
      <c r="C25" s="49">
        <v>97.486000061035099</v>
      </c>
      <c r="D25" s="49">
        <v>148.05000305175699</v>
      </c>
      <c r="E25" s="49">
        <v>100.873275756835</v>
      </c>
      <c r="F25" s="49">
        <v>105.641830444335</v>
      </c>
      <c r="G25" s="49">
        <v>86.645301818847599</v>
      </c>
      <c r="H25" s="49">
        <f t="shared" si="1"/>
        <v>-6.7553884160513569E-2</v>
      </c>
      <c r="I25" s="49">
        <f t="shared" si="1"/>
        <v>3.5020571318222685E-2</v>
      </c>
      <c r="J25" s="49">
        <f t="shared" si="1"/>
        <v>-2.2240316767453269E-3</v>
      </c>
      <c r="K25" s="49">
        <f t="shared" si="1"/>
        <v>-2.8525860888289695E-2</v>
      </c>
      <c r="L25" s="49">
        <f t="shared" si="1"/>
        <v>4.2614083477348439E-3</v>
      </c>
      <c r="M25" s="49">
        <f t="shared" si="1"/>
        <v>-9.224166437464501E-2</v>
      </c>
      <c r="N25" s="4"/>
    </row>
    <row r="26" spans="1:14">
      <c r="A26" s="51">
        <v>43922</v>
      </c>
      <c r="B26" s="49">
        <v>71.821670532226506</v>
      </c>
      <c r="C26" s="49">
        <v>123.699996948242</v>
      </c>
      <c r="D26" s="49">
        <v>158.80000305175699</v>
      </c>
      <c r="E26" s="49">
        <v>108.090278625488</v>
      </c>
      <c r="F26" s="49">
        <v>105.680374145507</v>
      </c>
      <c r="G26" s="49">
        <v>102.27442932128901</v>
      </c>
      <c r="H26" s="49">
        <f t="shared" si="1"/>
        <v>0.15537385794223632</v>
      </c>
      <c r="I26" s="49">
        <f t="shared" si="1"/>
        <v>0.26890011766607058</v>
      </c>
      <c r="J26" s="49">
        <f t="shared" si="1"/>
        <v>7.2610603028774631E-2</v>
      </c>
      <c r="K26" s="49">
        <f t="shared" si="1"/>
        <v>7.1545241437883864E-2</v>
      </c>
      <c r="L26" s="49">
        <f t="shared" si="1"/>
        <v>3.6485264416458992E-4</v>
      </c>
      <c r="M26" s="49">
        <f t="shared" si="1"/>
        <v>0.18038055352519605</v>
      </c>
      <c r="N26" s="4"/>
    </row>
    <row r="27" spans="1:14">
      <c r="A27" s="51">
        <v>43952</v>
      </c>
      <c r="B27" s="49">
        <v>77.722869873046804</v>
      </c>
      <c r="C27" s="49">
        <v>122.11849975585901</v>
      </c>
      <c r="D27" s="49">
        <v>162.91000366210901</v>
      </c>
      <c r="E27" s="49">
        <v>107.01099395751901</v>
      </c>
      <c r="F27" s="49">
        <v>105.69357299804599</v>
      </c>
      <c r="G27" s="49">
        <v>114.00794982910099</v>
      </c>
      <c r="H27" s="49">
        <f t="shared" si="1"/>
        <v>8.2164607103818621E-2</v>
      </c>
      <c r="I27" s="49">
        <f t="shared" si="1"/>
        <v>-1.2784941240093321E-2</v>
      </c>
      <c r="J27" s="49">
        <f t="shared" si="1"/>
        <v>2.5881615436823782E-2</v>
      </c>
      <c r="K27" s="49">
        <f t="shared" si="1"/>
        <v>-9.9850299369521021E-3</v>
      </c>
      <c r="L27" s="49">
        <f t="shared" si="1"/>
        <v>1.24894074663461E-4</v>
      </c>
      <c r="M27" s="49">
        <f t="shared" si="1"/>
        <v>0.11472584677986161</v>
      </c>
      <c r="N27" s="4"/>
    </row>
    <row r="28" spans="1:14">
      <c r="A28" s="51">
        <v>43983</v>
      </c>
      <c r="B28" s="49">
        <v>89.419563293457003</v>
      </c>
      <c r="C28" s="49">
        <v>137.940994262695</v>
      </c>
      <c r="D28" s="49">
        <v>167.36999511718699</v>
      </c>
      <c r="E28" s="49">
        <v>110.380500793457</v>
      </c>
      <c r="F28" s="49">
        <v>105.73263549804599</v>
      </c>
      <c r="G28" s="49">
        <v>112.363548278808</v>
      </c>
      <c r="H28" s="49">
        <f t="shared" si="1"/>
        <v>0.15049229962192179</v>
      </c>
      <c r="I28" s="49">
        <f t="shared" si="1"/>
        <v>0.1295667285339121</v>
      </c>
      <c r="J28" s="49">
        <f t="shared" si="1"/>
        <v>2.7377026301763724E-2</v>
      </c>
      <c r="K28" s="49">
        <f t="shared" si="1"/>
        <v>3.1487482840086664E-2</v>
      </c>
      <c r="L28" s="49">
        <f t="shared" si="1"/>
        <v>3.695825478501154E-4</v>
      </c>
      <c r="M28" s="49">
        <f t="shared" si="1"/>
        <v>-1.4423569170026922E-2</v>
      </c>
      <c r="N28" s="4"/>
    </row>
    <row r="29" spans="1:14">
      <c r="A29" s="51">
        <v>44013</v>
      </c>
      <c r="B29" s="49">
        <v>104.18556213378901</v>
      </c>
      <c r="C29" s="49">
        <v>158.23399353027301</v>
      </c>
      <c r="D29" s="49">
        <v>185.42999267578099</v>
      </c>
      <c r="E29" s="49">
        <v>121.042823791503</v>
      </c>
      <c r="F29" s="49">
        <v>105.80043792724599</v>
      </c>
      <c r="G29" s="49">
        <v>117.938148498535</v>
      </c>
      <c r="H29" s="49">
        <f t="shared" si="1"/>
        <v>0.16513163670765163</v>
      </c>
      <c r="I29" s="49">
        <f t="shared" si="1"/>
        <v>0.14711362185002089</v>
      </c>
      <c r="J29" s="49">
        <f t="shared" si="1"/>
        <v>0.10790463097013886</v>
      </c>
      <c r="K29" s="49">
        <f t="shared" si="1"/>
        <v>9.6596073775722727E-2</v>
      </c>
      <c r="L29" s="49">
        <f t="shared" si="1"/>
        <v>6.4126302045363639E-4</v>
      </c>
      <c r="M29" s="49">
        <f t="shared" si="1"/>
        <v>4.9612176770127726E-2</v>
      </c>
      <c r="N29" s="4"/>
    </row>
    <row r="30" spans="1:14">
      <c r="A30" s="51">
        <v>44044</v>
      </c>
      <c r="B30" s="49">
        <v>126.52084350585901</v>
      </c>
      <c r="C30" s="49">
        <v>172.54800415039</v>
      </c>
      <c r="D30" s="49">
        <v>184.83000183105401</v>
      </c>
      <c r="E30" s="49">
        <v>128.50453186035099</v>
      </c>
      <c r="F30" s="49">
        <v>105.78133392333901</v>
      </c>
      <c r="G30" s="49">
        <v>141.67005920410099</v>
      </c>
      <c r="H30" s="49">
        <f t="shared" si="1"/>
        <v>0.21437981342739543</v>
      </c>
      <c r="I30" s="49">
        <f t="shared" si="1"/>
        <v>9.0461033692981155E-2</v>
      </c>
      <c r="J30" s="49">
        <f t="shared" si="1"/>
        <v>-3.2356731296217843E-3</v>
      </c>
      <c r="K30" s="49">
        <f t="shared" si="1"/>
        <v>6.1645191636480946E-2</v>
      </c>
      <c r="L30" s="49">
        <f t="shared" si="1"/>
        <v>-1.8056639727829759E-4</v>
      </c>
      <c r="M30" s="49">
        <f t="shared" si="1"/>
        <v>0.20122336163231175</v>
      </c>
      <c r="N30" s="4"/>
    </row>
    <row r="31" spans="1:14">
      <c r="A31" s="51">
        <v>44075</v>
      </c>
      <c r="B31" s="49">
        <v>113.753852844238</v>
      </c>
      <c r="C31" s="49">
        <v>157.43649291992099</v>
      </c>
      <c r="D31" s="49">
        <v>177.11999511718699</v>
      </c>
      <c r="E31" s="49">
        <v>129.11767578125</v>
      </c>
      <c r="F31" s="49">
        <v>105.77751159667901</v>
      </c>
      <c r="G31" s="49">
        <v>148.217361450195</v>
      </c>
      <c r="H31" s="49">
        <f t="shared" si="1"/>
        <v>-0.10090820063991895</v>
      </c>
      <c r="I31" s="49">
        <f t="shared" si="1"/>
        <v>-8.7578591852607357E-2</v>
      </c>
      <c r="J31" s="49">
        <f t="shared" si="1"/>
        <v>-4.1714043377624577E-2</v>
      </c>
      <c r="K31" s="49">
        <f t="shared" si="1"/>
        <v>4.7713797484226035E-3</v>
      </c>
      <c r="L31" s="49">
        <f t="shared" si="1"/>
        <v>-3.6134226316053229E-5</v>
      </c>
      <c r="M31" s="49">
        <f t="shared" si="1"/>
        <v>4.6215144419904909E-2</v>
      </c>
      <c r="N31" s="4"/>
    </row>
    <row r="32" spans="1:14">
      <c r="A32" s="51">
        <v>44105</v>
      </c>
      <c r="B32" s="49">
        <v>106.92724609375</v>
      </c>
      <c r="C32" s="49">
        <v>151.80749511718699</v>
      </c>
      <c r="D32" s="49">
        <v>176.19999694824199</v>
      </c>
      <c r="E32" s="49">
        <v>127.36190032958901</v>
      </c>
      <c r="F32" s="49">
        <v>105.790885925292</v>
      </c>
      <c r="G32" s="49">
        <v>143.32133483886699</v>
      </c>
      <c r="H32" s="49">
        <f t="shared" si="1"/>
        <v>-6.0012092599936818E-2</v>
      </c>
      <c r="I32" s="49">
        <f t="shared" si="1"/>
        <v>-3.5754085335203425E-2</v>
      </c>
      <c r="J32" s="49">
        <f t="shared" si="1"/>
        <v>-5.1942084141110446E-3</v>
      </c>
      <c r="K32" s="49">
        <f t="shared" si="1"/>
        <v>-1.3598257876292737E-2</v>
      </c>
      <c r="L32" s="49">
        <f t="shared" si="1"/>
        <v>1.2643829875666062E-4</v>
      </c>
      <c r="M32" s="49">
        <f t="shared" si="1"/>
        <v>-3.303274706433907E-2</v>
      </c>
      <c r="N32" s="4"/>
    </row>
    <row r="33" spans="1:14">
      <c r="A33" s="51">
        <v>44136</v>
      </c>
      <c r="B33" s="49">
        <v>116.93633270263599</v>
      </c>
      <c r="C33" s="49">
        <v>158.40199279785099</v>
      </c>
      <c r="D33" s="49">
        <v>166.669998168945</v>
      </c>
      <c r="E33" s="49">
        <v>129.72248840332</v>
      </c>
      <c r="F33" s="49">
        <v>105.774642944335</v>
      </c>
      <c r="G33" s="49">
        <v>169.03482055664</v>
      </c>
      <c r="H33" s="49">
        <f t="shared" si="1"/>
        <v>9.3606512601197858E-2</v>
      </c>
      <c r="I33" s="49">
        <f t="shared" si="1"/>
        <v>4.3439868865324589E-2</v>
      </c>
      <c r="J33" s="49">
        <f t="shared" si="1"/>
        <v>-5.4086259616090607E-2</v>
      </c>
      <c r="K33" s="49">
        <f t="shared" si="1"/>
        <v>1.8534491615013828E-2</v>
      </c>
      <c r="L33" s="49">
        <f t="shared" si="1"/>
        <v>-1.5353856634184334E-4</v>
      </c>
      <c r="M33" s="49">
        <f t="shared" si="1"/>
        <v>0.17941143059183837</v>
      </c>
      <c r="N33" s="4"/>
    </row>
    <row r="34" spans="1:14">
      <c r="A34" s="51">
        <v>44166</v>
      </c>
      <c r="B34" s="49">
        <v>130.55900573730401</v>
      </c>
      <c r="C34" s="49">
        <v>162.84649658203099</v>
      </c>
      <c r="D34" s="49">
        <v>178.36000061035099</v>
      </c>
      <c r="E34" s="49">
        <v>129.97471618652301</v>
      </c>
      <c r="F34" s="49">
        <v>105.647506713867</v>
      </c>
      <c r="G34" s="49">
        <v>166.89730834960901</v>
      </c>
      <c r="H34" s="49">
        <f t="shared" si="1"/>
        <v>0.11649649616864483</v>
      </c>
      <c r="I34" s="49">
        <f t="shared" si="1"/>
        <v>2.8058383014486279E-2</v>
      </c>
      <c r="J34" s="49">
        <f t="shared" si="1"/>
        <v>7.0138612646748977E-2</v>
      </c>
      <c r="K34" s="49">
        <f t="shared" si="1"/>
        <v>1.9443643604708713E-3</v>
      </c>
      <c r="L34" s="49">
        <f t="shared" si="1"/>
        <v>-1.2019537663190561E-3</v>
      </c>
      <c r="M34" s="49">
        <f t="shared" si="1"/>
        <v>-1.2645395782904736E-2</v>
      </c>
      <c r="N34" s="4"/>
    </row>
    <row r="35" spans="1:14">
      <c r="A35" s="51">
        <v>44197</v>
      </c>
      <c r="B35" s="49">
        <v>129.84075927734301</v>
      </c>
      <c r="C35" s="49">
        <v>160.30999755859301</v>
      </c>
      <c r="D35" s="49">
        <v>172.61000061035099</v>
      </c>
      <c r="E35" s="49">
        <v>119.76466369628901</v>
      </c>
      <c r="F35" s="49">
        <v>105.792823791503</v>
      </c>
      <c r="G35" s="49">
        <v>171.284088134765</v>
      </c>
      <c r="H35" s="49">
        <f t="shared" si="1"/>
        <v>-5.50131686362692E-3</v>
      </c>
      <c r="I35" s="49">
        <f t="shared" si="1"/>
        <v>-1.5576012236531397E-2</v>
      </c>
      <c r="J35" s="49">
        <f t="shared" si="1"/>
        <v>-3.2238169882952458E-2</v>
      </c>
      <c r="K35" s="49">
        <f t="shared" si="1"/>
        <v>-7.8554143373406951E-2</v>
      </c>
      <c r="L35" s="49">
        <f t="shared" si="1"/>
        <v>1.3754898923413975E-3</v>
      </c>
      <c r="M35" s="49">
        <f t="shared" si="1"/>
        <v>2.6284305172656015E-2</v>
      </c>
      <c r="N35" s="4"/>
    </row>
    <row r="36" spans="1:14">
      <c r="A36" s="51">
        <v>44228</v>
      </c>
      <c r="B36" s="49">
        <v>119.31256866455</v>
      </c>
      <c r="C36" s="49">
        <v>154.64649963378901</v>
      </c>
      <c r="D36" s="49">
        <v>161.80999755859301</v>
      </c>
      <c r="E36" s="49">
        <v>116.08895111083901</v>
      </c>
      <c r="F36" s="49">
        <v>105.792823791503</v>
      </c>
      <c r="G36" s="49">
        <v>173.43019104003901</v>
      </c>
      <c r="H36" s="49">
        <f t="shared" si="1"/>
        <v>-8.1085405471979261E-2</v>
      </c>
      <c r="I36" s="49">
        <f t="shared" si="1"/>
        <v>-3.5328413767419638E-2</v>
      </c>
      <c r="J36" s="49">
        <f t="shared" si="1"/>
        <v>-6.256881416817707E-2</v>
      </c>
      <c r="K36" s="49">
        <f t="shared" si="1"/>
        <v>-3.069112768329758E-2</v>
      </c>
      <c r="L36" s="49">
        <f t="shared" si="1"/>
        <v>0</v>
      </c>
      <c r="M36" s="49">
        <f t="shared" si="1"/>
        <v>1.2529493712139033E-2</v>
      </c>
      <c r="N36" s="4"/>
    </row>
    <row r="37" spans="1:14">
      <c r="A37" s="51">
        <v>44256</v>
      </c>
      <c r="B37" s="49">
        <v>120.367881774902</v>
      </c>
      <c r="C37" s="49">
        <v>154.70399475097599</v>
      </c>
      <c r="D37" s="49">
        <v>159.96000671386699</v>
      </c>
      <c r="E37" s="49">
        <v>127.272132873535</v>
      </c>
      <c r="F37" s="49">
        <v>105.78325653076099</v>
      </c>
      <c r="G37" s="49">
        <v>187.92948913574199</v>
      </c>
      <c r="H37" s="49">
        <f t="shared" si="1"/>
        <v>8.8449450226743484E-3</v>
      </c>
      <c r="I37" s="49">
        <f t="shared" si="1"/>
        <v>3.7178414851380309E-4</v>
      </c>
      <c r="J37" s="49">
        <f t="shared" si="1"/>
        <v>-1.1433105943012714E-2</v>
      </c>
      <c r="K37" s="49">
        <f t="shared" si="1"/>
        <v>9.6332869370303428E-2</v>
      </c>
      <c r="L37" s="49">
        <f t="shared" si="1"/>
        <v>-9.0433929250796462E-5</v>
      </c>
      <c r="M37" s="49">
        <f t="shared" si="1"/>
        <v>8.3603079768018007E-2</v>
      </c>
      <c r="N37" s="4"/>
    </row>
    <row r="38" spans="1:14">
      <c r="A38" s="51">
        <v>44287</v>
      </c>
      <c r="B38" s="49">
        <v>129.54208374023401</v>
      </c>
      <c r="C38" s="49">
        <v>173.371002197265</v>
      </c>
      <c r="D38" s="49">
        <v>165.66000366210901</v>
      </c>
      <c r="E38" s="49">
        <v>125.383186340332</v>
      </c>
      <c r="F38" s="49">
        <v>105.78325653076099</v>
      </c>
      <c r="G38" s="49">
        <v>196.64895629882801</v>
      </c>
      <c r="H38" s="49">
        <f t="shared" si="1"/>
        <v>7.621802286500752E-2</v>
      </c>
      <c r="I38" s="49">
        <f t="shared" si="1"/>
        <v>0.12066273709568343</v>
      </c>
      <c r="J38" s="49">
        <f t="shared" si="1"/>
        <v>3.5633887903231014E-2</v>
      </c>
      <c r="K38" s="49">
        <f t="shared" si="1"/>
        <v>-1.4841792076196007E-2</v>
      </c>
      <c r="L38" s="49">
        <f t="shared" si="1"/>
        <v>0</v>
      </c>
      <c r="M38" s="49">
        <f t="shared" si="1"/>
        <v>4.639754624559176E-2</v>
      </c>
      <c r="N38" s="4"/>
    </row>
    <row r="39" spans="1:14">
      <c r="A39" s="51">
        <v>44317</v>
      </c>
      <c r="B39" s="49">
        <v>122.79199981689401</v>
      </c>
      <c r="C39" s="49">
        <v>161.15350341796801</v>
      </c>
      <c r="D39" s="49">
        <v>178.38000488281199</v>
      </c>
      <c r="E39" s="49">
        <v>127.537887573242</v>
      </c>
      <c r="F39" s="49">
        <v>105.78325653076099</v>
      </c>
      <c r="G39" s="49">
        <v>215.30242919921801</v>
      </c>
      <c r="H39" s="49">
        <f t="shared" si="1"/>
        <v>-5.2107266831338733E-2</v>
      </c>
      <c r="I39" s="49">
        <f t="shared" si="1"/>
        <v>-7.0470255258694728E-2</v>
      </c>
      <c r="J39" s="49">
        <f t="shared" si="1"/>
        <v>7.678377966625867E-2</v>
      </c>
      <c r="K39" s="49">
        <f t="shared" si="1"/>
        <v>1.7184929620957457E-2</v>
      </c>
      <c r="L39" s="49">
        <f t="shared" si="1"/>
        <v>0</v>
      </c>
      <c r="M39" s="49">
        <f t="shared" si="1"/>
        <v>9.4856709394603431E-2</v>
      </c>
      <c r="N39" s="4"/>
    </row>
    <row r="40" spans="1:14">
      <c r="A40" s="51">
        <v>44348</v>
      </c>
      <c r="B40" s="49">
        <v>135.19104003906199</v>
      </c>
      <c r="C40" s="49">
        <v>172.00799560546801</v>
      </c>
      <c r="D40" s="49">
        <v>165.63000488281199</v>
      </c>
      <c r="E40" s="49">
        <v>127.61353302001901</v>
      </c>
      <c r="F40" s="49">
        <v>105.76408386230401</v>
      </c>
      <c r="G40" s="49">
        <v>230.10873413085901</v>
      </c>
      <c r="H40" s="49">
        <f t="shared" si="1"/>
        <v>0.10097596130576329</v>
      </c>
      <c r="I40" s="49">
        <f t="shared" si="1"/>
        <v>6.7354987370940173E-2</v>
      </c>
      <c r="J40" s="49">
        <f t="shared" si="1"/>
        <v>-7.1476620983255398E-2</v>
      </c>
      <c r="K40" s="49">
        <f t="shared" si="1"/>
        <v>5.931213713537578E-4</v>
      </c>
      <c r="L40" s="49">
        <f t="shared" si="1"/>
        <v>-1.812448310419839E-4</v>
      </c>
      <c r="M40" s="49">
        <f t="shared" ref="M40:M63" si="2">(G40-G39)/G39</f>
        <v>6.8769799703192441E-2</v>
      </c>
      <c r="N40" s="4"/>
    </row>
    <row r="41" spans="1:14">
      <c r="A41" s="51">
        <v>44378</v>
      </c>
      <c r="B41" s="49">
        <v>143.97608947753901</v>
      </c>
      <c r="C41" s="49">
        <v>166.37950134277301</v>
      </c>
      <c r="D41" s="49">
        <v>169.82000732421801</v>
      </c>
      <c r="E41" s="49">
        <v>134.51770019531199</v>
      </c>
      <c r="F41" s="49">
        <v>105.76408386230401</v>
      </c>
      <c r="G41" s="49">
        <v>248.48962402343699</v>
      </c>
      <c r="H41" s="49">
        <f t="shared" si="1"/>
        <v>6.49824828327282E-2</v>
      </c>
      <c r="I41" s="49">
        <f t="shared" si="1"/>
        <v>-3.2722282722281046E-2</v>
      </c>
      <c r="J41" s="49">
        <f t="shared" si="1"/>
        <v>2.5297363508324296E-2</v>
      </c>
      <c r="K41" s="49">
        <f t="shared" si="1"/>
        <v>5.4102155248769046E-2</v>
      </c>
      <c r="L41" s="49">
        <f t="shared" si="1"/>
        <v>0</v>
      </c>
      <c r="M41" s="49">
        <f t="shared" si="2"/>
        <v>7.9879149142270608E-2</v>
      </c>
      <c r="N41" s="4"/>
    </row>
    <row r="42" spans="1:14">
      <c r="A42" s="51">
        <v>44409</v>
      </c>
      <c r="B42" s="49">
        <v>149.86900329589801</v>
      </c>
      <c r="C42" s="49">
        <v>173.53950500488199</v>
      </c>
      <c r="D42" s="49">
        <v>169.69000244140599</v>
      </c>
      <c r="E42" s="49">
        <v>135.516021728515</v>
      </c>
      <c r="F42" s="49">
        <v>105.74495697021401</v>
      </c>
      <c r="G42" s="49">
        <v>235.09661865234301</v>
      </c>
      <c r="H42" s="49">
        <f t="shared" si="1"/>
        <v>4.0929808829669109E-2</v>
      </c>
      <c r="I42" s="49">
        <f t="shared" si="1"/>
        <v>4.3034169499991622E-2</v>
      </c>
      <c r="J42" s="49">
        <f t="shared" si="1"/>
        <v>-7.6554514901070109E-4</v>
      </c>
      <c r="K42" s="49">
        <f t="shared" si="1"/>
        <v>7.4214882632806364E-3</v>
      </c>
      <c r="L42" s="49">
        <f t="shared" si="1"/>
        <v>-1.8084487088170387E-4</v>
      </c>
      <c r="M42" s="49">
        <f t="shared" si="2"/>
        <v>-5.3897644313030867E-2</v>
      </c>
      <c r="N42" s="4"/>
    </row>
    <row r="43" spans="1:14">
      <c r="A43" s="51">
        <v>44440</v>
      </c>
      <c r="B43" s="49">
        <v>139.88168334960901</v>
      </c>
      <c r="C43" s="49">
        <v>164.25199890136699</v>
      </c>
      <c r="D43" s="49">
        <v>164.22000122070301</v>
      </c>
      <c r="E43" s="49">
        <v>133.051025390625</v>
      </c>
      <c r="F43" s="49">
        <v>105.74495697021401</v>
      </c>
      <c r="G43" s="49">
        <v>218.51010131835901</v>
      </c>
      <c r="H43" s="49">
        <f t="shared" si="1"/>
        <v>-6.6640330733168787E-2</v>
      </c>
      <c r="I43" s="49">
        <f t="shared" si="1"/>
        <v>-5.3518108762922456E-2</v>
      </c>
      <c r="J43" s="49">
        <f t="shared" si="1"/>
        <v>-3.223525924924054E-2</v>
      </c>
      <c r="K43" s="49">
        <f t="shared" si="1"/>
        <v>-1.8189704113571393E-2</v>
      </c>
      <c r="L43" s="49">
        <f t="shared" si="1"/>
        <v>0</v>
      </c>
      <c r="M43" s="49">
        <f t="shared" si="2"/>
        <v>-7.0551917884075874E-2</v>
      </c>
      <c r="N43" s="4"/>
    </row>
    <row r="44" spans="1:14">
      <c r="A44" s="51">
        <v>44470</v>
      </c>
      <c r="B44" s="49">
        <v>148.08676147460901</v>
      </c>
      <c r="C44" s="49">
        <v>168.62150573730401</v>
      </c>
      <c r="D44" s="49">
        <v>166.64999389648401</v>
      </c>
      <c r="E44" s="49">
        <v>136.08703613281199</v>
      </c>
      <c r="F44" s="49">
        <v>105.71622467041</v>
      </c>
      <c r="G44" s="49">
        <v>247.9765625</v>
      </c>
      <c r="H44" s="49">
        <f t="shared" si="1"/>
        <v>5.865727326495556E-2</v>
      </c>
      <c r="I44" s="49">
        <f t="shared" si="1"/>
        <v>2.6602457596640254E-2</v>
      </c>
      <c r="J44" s="49">
        <f t="shared" si="1"/>
        <v>1.4797178527085822E-2</v>
      </c>
      <c r="K44" s="49">
        <f t="shared" si="1"/>
        <v>2.2818394170759326E-2</v>
      </c>
      <c r="L44" s="49">
        <f t="shared" si="1"/>
        <v>-2.7171319207306148E-4</v>
      </c>
      <c r="M44" s="49">
        <f t="shared" si="2"/>
        <v>0.13485171167766627</v>
      </c>
      <c r="N44" s="4"/>
    </row>
    <row r="45" spans="1:14">
      <c r="A45" s="51">
        <v>44501</v>
      </c>
      <c r="B45" s="49">
        <v>163.40946960449199</v>
      </c>
      <c r="C45" s="49">
        <v>175.35350036621</v>
      </c>
      <c r="D45" s="49">
        <v>165.5</v>
      </c>
      <c r="E45" s="49">
        <v>138.45330810546801</v>
      </c>
      <c r="F45" s="49">
        <v>105.66838073730401</v>
      </c>
      <c r="G45" s="49">
        <v>232.90423583984301</v>
      </c>
      <c r="H45" s="49">
        <f t="shared" si="1"/>
        <v>0.10347115418895982</v>
      </c>
      <c r="I45" s="49">
        <f t="shared" si="1"/>
        <v>3.9923701306485725E-2</v>
      </c>
      <c r="J45" s="49">
        <f t="shared" si="1"/>
        <v>-6.9006536969832329E-3</v>
      </c>
      <c r="K45" s="49">
        <f t="shared" si="1"/>
        <v>1.7387930841161806E-2</v>
      </c>
      <c r="L45" s="49">
        <f t="shared" si="1"/>
        <v>-4.5256944480525025E-4</v>
      </c>
      <c r="M45" s="49">
        <f t="shared" si="2"/>
        <v>-6.078125492265822E-2</v>
      </c>
      <c r="N45" s="4"/>
    </row>
    <row r="46" spans="1:14">
      <c r="A46" s="51">
        <v>44531</v>
      </c>
      <c r="B46" s="49">
        <v>175.79533386230401</v>
      </c>
      <c r="C46" s="49">
        <v>166.71699523925699</v>
      </c>
      <c r="D46" s="49">
        <v>170.96000671386699</v>
      </c>
      <c r="E46" s="49">
        <v>156.648178100585</v>
      </c>
      <c r="F46" s="49">
        <v>105.69709777832</v>
      </c>
      <c r="G46" s="49">
        <v>221.81562805175699</v>
      </c>
      <c r="H46" s="49">
        <f t="shared" si="1"/>
        <v>7.5796490177650874E-2</v>
      </c>
      <c r="I46" s="49">
        <f t="shared" si="1"/>
        <v>-4.9251968788284507E-2</v>
      </c>
      <c r="J46" s="49">
        <f t="shared" si="1"/>
        <v>3.2990977123063377E-2</v>
      </c>
      <c r="K46" s="49">
        <f t="shared" si="1"/>
        <v>0.13141520592095127</v>
      </c>
      <c r="L46" s="49">
        <f t="shared" si="1"/>
        <v>2.7176569580815516E-4</v>
      </c>
      <c r="M46" s="49">
        <f t="shared" si="2"/>
        <v>-4.7610159377741511E-2</v>
      </c>
      <c r="N46" s="4"/>
    </row>
    <row r="47" spans="1:14">
      <c r="A47" s="51">
        <v>44562</v>
      </c>
      <c r="B47" s="49">
        <v>173.03323364257801</v>
      </c>
      <c r="C47" s="49">
        <v>149.57350158691401</v>
      </c>
      <c r="D47" s="49">
        <v>168.08999633789</v>
      </c>
      <c r="E47" s="49">
        <v>153.650787353515</v>
      </c>
      <c r="F47" s="49">
        <v>105.610946655273</v>
      </c>
      <c r="G47" s="49">
        <v>211.26345825195301</v>
      </c>
      <c r="H47" s="49">
        <f t="shared" si="1"/>
        <v>-1.5712022378759363E-2</v>
      </c>
      <c r="I47" s="49">
        <f t="shared" si="1"/>
        <v>-0.10282991021845259</v>
      </c>
      <c r="J47" s="49">
        <f t="shared" si="1"/>
        <v>-1.6787612677042527E-2</v>
      </c>
      <c r="K47" s="49">
        <f t="shared" si="1"/>
        <v>-1.9134539471920013E-2</v>
      </c>
      <c r="L47" s="49">
        <f t="shared" si="1"/>
        <v>-8.1507557783363984E-4</v>
      </c>
      <c r="M47" s="49">
        <f t="shared" si="2"/>
        <v>-4.7571804982748121E-2</v>
      </c>
      <c r="N47" s="4"/>
    </row>
    <row r="48" spans="1:14">
      <c r="A48" s="51">
        <v>44593</v>
      </c>
      <c r="B48" s="49">
        <v>163.46978759765599</v>
      </c>
      <c r="C48" s="49">
        <v>153.56300354003901</v>
      </c>
      <c r="D48" s="49">
        <v>178.38000488281199</v>
      </c>
      <c r="E48" s="49">
        <v>150.090072631835</v>
      </c>
      <c r="F48" s="49">
        <v>105.57264709472599</v>
      </c>
      <c r="G48" s="49">
        <v>191.46260070800699</v>
      </c>
      <c r="H48" s="49">
        <f t="shared" si="1"/>
        <v>-5.5269417577183594E-2</v>
      </c>
      <c r="I48" s="49">
        <f t="shared" si="1"/>
        <v>2.6672518265588537E-2</v>
      </c>
      <c r="J48" s="49">
        <f t="shared" si="1"/>
        <v>6.1217257237826873E-2</v>
      </c>
      <c r="K48" s="49">
        <f t="shared" si="1"/>
        <v>-2.3174074035088525E-2</v>
      </c>
      <c r="L48" s="49">
        <f t="shared" si="1"/>
        <v>-3.626476398513625E-4</v>
      </c>
      <c r="M48" s="49">
        <f t="shared" si="2"/>
        <v>-9.3725898968914451E-2</v>
      </c>
      <c r="N48" s="4"/>
    </row>
    <row r="49" spans="1:14">
      <c r="A49" s="51">
        <v>44621</v>
      </c>
      <c r="B49" s="49">
        <v>173.08517456054599</v>
      </c>
      <c r="C49" s="49">
        <v>162.99749755859301</v>
      </c>
      <c r="D49" s="49">
        <v>180.64999389648401</v>
      </c>
      <c r="E49" s="49">
        <v>147.11502075195301</v>
      </c>
      <c r="F49" s="49">
        <v>105.534370422363</v>
      </c>
      <c r="G49" s="49">
        <v>204.27635192871</v>
      </c>
      <c r="H49" s="49">
        <f t="shared" si="1"/>
        <v>5.8820575374797117E-2</v>
      </c>
      <c r="I49" s="49">
        <f t="shared" si="1"/>
        <v>6.1437285030011266E-2</v>
      </c>
      <c r="J49" s="49">
        <f t="shared" si="1"/>
        <v>1.2725579950304983E-2</v>
      </c>
      <c r="K49" s="49">
        <f t="shared" si="1"/>
        <v>-1.9821776535345365E-2</v>
      </c>
      <c r="L49" s="49">
        <f t="shared" si="1"/>
        <v>-3.625624005491967E-4</v>
      </c>
      <c r="M49" s="49">
        <f t="shared" si="2"/>
        <v>6.6925609353049698E-2</v>
      </c>
      <c r="N49" s="4"/>
    </row>
    <row r="50" spans="1:14">
      <c r="A50" s="51">
        <v>44652</v>
      </c>
      <c r="B50" s="49">
        <v>156.27328491210901</v>
      </c>
      <c r="C50" s="49">
        <v>124.28150177001901</v>
      </c>
      <c r="D50" s="49">
        <v>176.91000366210901</v>
      </c>
      <c r="E50" s="49">
        <v>154.57670593261699</v>
      </c>
      <c r="F50" s="49">
        <v>105.48649597167901</v>
      </c>
      <c r="G50" s="49">
        <v>220.09135437011699</v>
      </c>
      <c r="H50" s="49">
        <f t="shared" si="1"/>
        <v>-9.7130731682372434E-2</v>
      </c>
      <c r="I50" s="49">
        <f t="shared" si="1"/>
        <v>-0.23752509313621023</v>
      </c>
      <c r="J50" s="49">
        <f t="shared" si="1"/>
        <v>-2.0702963524693436E-2</v>
      </c>
      <c r="K50" s="49">
        <f t="shared" si="1"/>
        <v>5.0720077001823898E-2</v>
      </c>
      <c r="L50" s="49">
        <f t="shared" si="1"/>
        <v>-4.536384733465652E-4</v>
      </c>
      <c r="M50" s="49">
        <f t="shared" si="2"/>
        <v>7.7419643987602815E-2</v>
      </c>
      <c r="N50" s="4"/>
    </row>
    <row r="51" spans="1:14">
      <c r="A51" s="51">
        <v>44682</v>
      </c>
      <c r="B51" s="49">
        <v>147.54022216796801</v>
      </c>
      <c r="C51" s="49">
        <v>120.209503173828</v>
      </c>
      <c r="D51" s="49">
        <v>171.13999938964801</v>
      </c>
      <c r="E51" s="49">
        <v>143.17686462402301</v>
      </c>
      <c r="F51" s="49">
        <v>105.542022705078</v>
      </c>
      <c r="G51" s="49">
        <v>155.82064819335901</v>
      </c>
      <c r="H51" s="49">
        <f t="shared" si="1"/>
        <v>-5.5883273644965169E-2</v>
      </c>
      <c r="I51" s="49">
        <f t="shared" si="1"/>
        <v>-3.2764317603163333E-2</v>
      </c>
      <c r="J51" s="49">
        <f t="shared" si="1"/>
        <v>-3.2615477661068114E-2</v>
      </c>
      <c r="K51" s="49">
        <f t="shared" si="1"/>
        <v>-7.3748765959363832E-2</v>
      </c>
      <c r="L51" s="49">
        <f t="shared" si="1"/>
        <v>5.2638712555111824E-4</v>
      </c>
      <c r="M51" s="49">
        <f t="shared" si="2"/>
        <v>-0.29201831376200743</v>
      </c>
      <c r="N51" s="4"/>
    </row>
    <row r="52" spans="1:14">
      <c r="A52" s="51">
        <v>44713</v>
      </c>
      <c r="B52" s="49">
        <v>135.72518920898401</v>
      </c>
      <c r="C52" s="49">
        <v>106.209999084472</v>
      </c>
      <c r="D52" s="49">
        <v>168.46000671386699</v>
      </c>
      <c r="E52" s="49">
        <v>139.21693420410099</v>
      </c>
      <c r="F52" s="49">
        <v>105.439559936523</v>
      </c>
      <c r="G52" s="49">
        <v>136.50390625</v>
      </c>
      <c r="H52" s="49">
        <f t="shared" si="1"/>
        <v>-8.0080081115325372E-2</v>
      </c>
      <c r="I52" s="49">
        <f t="shared" si="1"/>
        <v>-0.1164592126224174</v>
      </c>
      <c r="J52" s="49">
        <f t="shared" si="1"/>
        <v>-1.5659651077123537E-2</v>
      </c>
      <c r="K52" s="49">
        <f t="shared" si="1"/>
        <v>-2.7657613751499891E-2</v>
      </c>
      <c r="L52" s="49">
        <f t="shared" si="1"/>
        <v>-9.7082437808983073E-4</v>
      </c>
      <c r="M52" s="49">
        <f t="shared" si="2"/>
        <v>-0.12396779353265631</v>
      </c>
      <c r="N52" s="4"/>
    </row>
    <row r="53" spans="1:14">
      <c r="A53" s="51">
        <v>44743</v>
      </c>
      <c r="B53" s="49">
        <v>161.32752990722599</v>
      </c>
      <c r="C53" s="49">
        <v>134.94999694824199</v>
      </c>
      <c r="D53" s="49">
        <v>164.100006103515</v>
      </c>
      <c r="E53" s="49">
        <v>134.49215698242099</v>
      </c>
      <c r="F53" s="49">
        <v>105.51327514648401</v>
      </c>
      <c r="G53" s="49">
        <v>157.91271972656199</v>
      </c>
      <c r="H53" s="49">
        <f t="shared" si="1"/>
        <v>0.18863367107796453</v>
      </c>
      <c r="I53" s="49">
        <f t="shared" si="1"/>
        <v>0.27059597129750657</v>
      </c>
      <c r="J53" s="49">
        <f t="shared" si="1"/>
        <v>-2.5881517491314988E-2</v>
      </c>
      <c r="K53" s="49">
        <f t="shared" si="1"/>
        <v>-3.3938236384039117E-2</v>
      </c>
      <c r="L53" s="49">
        <f t="shared" si="1"/>
        <v>6.9912289092809925E-4</v>
      </c>
      <c r="M53" s="49">
        <f t="shared" si="2"/>
        <v>0.1568366361425059</v>
      </c>
      <c r="N53" s="4"/>
    </row>
    <row r="54" spans="1:14">
      <c r="A54" s="51">
        <v>44774</v>
      </c>
      <c r="B54" s="49">
        <v>156.07601928710901</v>
      </c>
      <c r="C54" s="49">
        <v>126.76999664306599</v>
      </c>
      <c r="D54" s="49">
        <v>159.27000427246</v>
      </c>
      <c r="E54" s="49">
        <v>134.42001342773401</v>
      </c>
      <c r="F54" s="49">
        <v>105.596702575683</v>
      </c>
      <c r="G54" s="49">
        <v>154.97444152832</v>
      </c>
      <c r="H54" s="49">
        <f t="shared" si="1"/>
        <v>-3.255185660585614E-2</v>
      </c>
      <c r="I54" s="49">
        <f t="shared" si="1"/>
        <v>-6.0615046240522025E-2</v>
      </c>
      <c r="J54" s="49">
        <f t="shared" si="1"/>
        <v>-2.9433282458309076E-2</v>
      </c>
      <c r="K54" s="49">
        <f t="shared" si="1"/>
        <v>-5.3641458584397634E-4</v>
      </c>
      <c r="L54" s="49">
        <f t="shared" si="1"/>
        <v>7.906818273166967E-4</v>
      </c>
      <c r="M54" s="49">
        <f t="shared" si="2"/>
        <v>-1.8606976077226983E-2</v>
      </c>
      <c r="N54" s="4"/>
    </row>
    <row r="55" spans="1:14">
      <c r="A55" s="51">
        <v>44805</v>
      </c>
      <c r="B55" s="49">
        <v>137.38497924804599</v>
      </c>
      <c r="C55" s="49">
        <v>113</v>
      </c>
      <c r="D55" s="49">
        <v>154.669998168945</v>
      </c>
      <c r="E55" s="49">
        <v>123.028312683105</v>
      </c>
      <c r="F55" s="49">
        <v>105.59766387939401</v>
      </c>
      <c r="G55" s="49">
        <v>144.32327270507801</v>
      </c>
      <c r="H55" s="49">
        <f t="shared" si="1"/>
        <v>-0.11975600175117219</v>
      </c>
      <c r="I55" s="49">
        <f t="shared" si="1"/>
        <v>-0.10862189009783475</v>
      </c>
      <c r="J55" s="49">
        <f t="shared" si="1"/>
        <v>-2.888181063677164E-2</v>
      </c>
      <c r="K55" s="49">
        <f t="shared" si="1"/>
        <v>-8.4747058523047508E-2</v>
      </c>
      <c r="L55" s="49">
        <f t="shared" si="1"/>
        <v>9.1035391026492634E-6</v>
      </c>
      <c r="M55" s="49">
        <f t="shared" si="2"/>
        <v>-6.8728551096572887E-2</v>
      </c>
      <c r="N55" s="4"/>
    </row>
    <row r="56" spans="1:14">
      <c r="A56" s="51">
        <v>44835</v>
      </c>
      <c r="B56" s="49">
        <v>152.43569946289</v>
      </c>
      <c r="C56" s="49">
        <v>102.44000244140599</v>
      </c>
      <c r="D56" s="49">
        <v>151.91000366210901</v>
      </c>
      <c r="E56" s="49">
        <v>131.23344421386699</v>
      </c>
      <c r="F56" s="49">
        <v>105.723419189453</v>
      </c>
      <c r="G56" s="49">
        <v>159.74862670898401</v>
      </c>
      <c r="H56" s="49">
        <f t="shared" si="1"/>
        <v>0.10955142474251289</v>
      </c>
      <c r="I56" s="49">
        <f t="shared" si="1"/>
        <v>-9.3451305828265538E-2</v>
      </c>
      <c r="J56" s="49">
        <f t="shared" si="1"/>
        <v>-1.7844407703562982E-2</v>
      </c>
      <c r="K56" s="49">
        <f t="shared" si="1"/>
        <v>6.6693034731742429E-2</v>
      </c>
      <c r="L56" s="49">
        <f t="shared" si="1"/>
        <v>1.1908910239020083E-3</v>
      </c>
      <c r="M56" s="49">
        <f t="shared" si="2"/>
        <v>0.10688057244535623</v>
      </c>
      <c r="N56" s="4"/>
    </row>
    <row r="57" spans="1:14">
      <c r="A57" s="51">
        <v>44866</v>
      </c>
      <c r="B57" s="49">
        <v>147.15699768066401</v>
      </c>
      <c r="C57" s="49">
        <v>96.540000915527301</v>
      </c>
      <c r="D57" s="49">
        <v>164.80999755859301</v>
      </c>
      <c r="E57" s="49">
        <v>146.38525390625</v>
      </c>
      <c r="F57" s="49">
        <v>106.042198181152</v>
      </c>
      <c r="G57" s="49">
        <v>162.49134826660099</v>
      </c>
      <c r="H57" s="49">
        <f t="shared" si="1"/>
        <v>-3.4629039003498507E-2</v>
      </c>
      <c r="I57" s="49">
        <f t="shared" si="1"/>
        <v>-5.7594703097097223E-2</v>
      </c>
      <c r="J57" s="49">
        <f t="shared" si="1"/>
        <v>8.4918659637302468E-2</v>
      </c>
      <c r="K57" s="49">
        <f t="shared" si="1"/>
        <v>0.11545692321913451</v>
      </c>
      <c r="L57" s="49">
        <f t="shared" si="1"/>
        <v>3.0152164406238489E-3</v>
      </c>
      <c r="M57" s="49">
        <f t="shared" si="2"/>
        <v>1.7168983634603868E-2</v>
      </c>
      <c r="N57" s="4"/>
    </row>
    <row r="58" spans="1:14">
      <c r="A58" s="51">
        <v>44896</v>
      </c>
      <c r="B58" s="49">
        <v>129.378005981445</v>
      </c>
      <c r="C58" s="49">
        <v>84</v>
      </c>
      <c r="D58" s="49">
        <v>169.63999938964801</v>
      </c>
      <c r="E58" s="49">
        <v>148.74060058593699</v>
      </c>
      <c r="F58" s="49">
        <v>106.102294921875</v>
      </c>
      <c r="G58" s="49">
        <v>145.86470031738199</v>
      </c>
      <c r="H58" s="49">
        <f t="shared" si="1"/>
        <v>-0.12081648837250716</v>
      </c>
      <c r="I58" s="49">
        <f t="shared" si="1"/>
        <v>-0.12989435256479673</v>
      </c>
      <c r="J58" s="49">
        <f t="shared" si="1"/>
        <v>2.9306485665942961E-2</v>
      </c>
      <c r="K58" s="49">
        <f t="shared" si="1"/>
        <v>1.6090054270052577E-2</v>
      </c>
      <c r="L58" s="49">
        <f t="shared" si="1"/>
        <v>5.6672477328632875E-4</v>
      </c>
      <c r="M58" s="49">
        <f t="shared" si="2"/>
        <v>-0.10232328137212277</v>
      </c>
      <c r="N58" s="4"/>
    </row>
    <row r="59" spans="1:14">
      <c r="A59" s="51">
        <v>44927</v>
      </c>
      <c r="B59" s="49">
        <v>143.677001953125</v>
      </c>
      <c r="C59" s="49">
        <v>103.129997253417</v>
      </c>
      <c r="D59" s="49">
        <v>179.41000366210901</v>
      </c>
      <c r="E59" s="49">
        <v>139.73138427734301</v>
      </c>
      <c r="F59" s="49">
        <v>107.03549194335901</v>
      </c>
      <c r="G59" s="49">
        <v>168.47254943847599</v>
      </c>
      <c r="H59" s="49">
        <f t="shared" si="1"/>
        <v>0.11052107244357065</v>
      </c>
      <c r="I59" s="49">
        <f t="shared" si="1"/>
        <v>0.2277380625406786</v>
      </c>
      <c r="J59" s="49">
        <f t="shared" si="1"/>
        <v>5.7592574319810991E-2</v>
      </c>
      <c r="K59" s="49">
        <f t="shared" si="1"/>
        <v>-6.0569987435197793E-2</v>
      </c>
      <c r="L59" s="49">
        <f t="shared" si="1"/>
        <v>8.7952576536740792E-3</v>
      </c>
      <c r="M59" s="49">
        <f t="shared" si="2"/>
        <v>0.15499191423217792</v>
      </c>
      <c r="N59" s="4"/>
    </row>
    <row r="60" spans="1:14">
      <c r="A60" s="51">
        <v>44958</v>
      </c>
      <c r="B60" s="49">
        <v>146.78375244140599</v>
      </c>
      <c r="C60" s="49">
        <v>94.230003356933594</v>
      </c>
      <c r="D60" s="49">
        <v>169.77999877929599</v>
      </c>
      <c r="E60" s="49">
        <v>135.84817504882801</v>
      </c>
      <c r="F60" s="49">
        <v>106.98696899414</v>
      </c>
      <c r="G60" s="49">
        <v>164.91009521484301</v>
      </c>
      <c r="H60" s="49">
        <f t="shared" si="1"/>
        <v>2.1623157819611102E-2</v>
      </c>
      <c r="I60" s="49">
        <f t="shared" si="1"/>
        <v>-8.6298789232136103E-2</v>
      </c>
      <c r="J60" s="49">
        <f t="shared" si="1"/>
        <v>-5.3675963916424839E-2</v>
      </c>
      <c r="K60" s="49">
        <f t="shared" si="1"/>
        <v>-2.7790530012981839E-2</v>
      </c>
      <c r="L60" s="49">
        <f t="shared" si="1"/>
        <v>-4.5333513527160828E-4</v>
      </c>
      <c r="M60" s="49">
        <f t="shared" si="2"/>
        <v>-2.1145606423757155E-2</v>
      </c>
      <c r="N60" s="4"/>
    </row>
    <row r="61" spans="1:14">
      <c r="A61" s="51">
        <v>44986</v>
      </c>
      <c r="B61" s="49">
        <v>164.45014953613199</v>
      </c>
      <c r="C61" s="49">
        <v>103.290000915527</v>
      </c>
      <c r="D61" s="49">
        <v>183.22000122070301</v>
      </c>
      <c r="E61" s="49">
        <v>146.83967590332</v>
      </c>
      <c r="F61" s="49">
        <v>107.610061645507</v>
      </c>
      <c r="G61" s="49">
        <v>163.11767578125</v>
      </c>
      <c r="H61" s="49">
        <f t="shared" si="1"/>
        <v>0.12035662531367816</v>
      </c>
      <c r="I61" s="49">
        <f t="shared" si="1"/>
        <v>9.6147694320619592E-2</v>
      </c>
      <c r="J61" s="49">
        <f t="shared" si="1"/>
        <v>7.9161282471666344E-2</v>
      </c>
      <c r="K61" s="49">
        <f t="shared" si="1"/>
        <v>8.091018411208914E-2</v>
      </c>
      <c r="L61" s="49">
        <f t="shared" si="1"/>
        <v>5.8240050842185411E-3</v>
      </c>
      <c r="M61" s="49">
        <f t="shared" si="2"/>
        <v>-1.0869070394131222E-2</v>
      </c>
      <c r="N61" s="4"/>
    </row>
    <row r="62" spans="1:14">
      <c r="A62" s="51">
        <v>45017</v>
      </c>
      <c r="B62" s="49">
        <v>169.21711730957</v>
      </c>
      <c r="C62" s="49">
        <v>105.449996948242</v>
      </c>
      <c r="D62" s="49">
        <v>184.80000305175699</v>
      </c>
      <c r="E62" s="49">
        <v>154.433990478515</v>
      </c>
      <c r="F62" s="49">
        <v>107.845100402832</v>
      </c>
      <c r="G62" s="49">
        <v>155.35719299316401</v>
      </c>
      <c r="H62" s="49">
        <f t="shared" si="1"/>
        <v>2.8987311880738924E-2</v>
      </c>
      <c r="I62" s="49">
        <f t="shared" si="1"/>
        <v>2.0911956758345812E-2</v>
      </c>
      <c r="J62" s="49">
        <f t="shared" si="1"/>
        <v>8.6235226532431885E-3</v>
      </c>
      <c r="K62" s="49">
        <f t="shared" si="1"/>
        <v>5.17184100855353E-2</v>
      </c>
      <c r="L62" s="49">
        <f t="shared" si="1"/>
        <v>2.1841708268811669E-3</v>
      </c>
      <c r="M62" s="49">
        <f t="shared" si="2"/>
        <v>-4.7575976980528088E-2</v>
      </c>
      <c r="N62" s="4"/>
    </row>
    <row r="63" spans="1:14">
      <c r="A63" s="52">
        <v>45047</v>
      </c>
      <c r="B63" s="19">
        <v>176.76646423339801</v>
      </c>
      <c r="C63" s="19">
        <v>120.58000183105401</v>
      </c>
      <c r="D63" s="19">
        <v>182.32000732421801</v>
      </c>
      <c r="E63" s="19">
        <v>141.60777282714801</v>
      </c>
      <c r="F63" s="19">
        <v>108.18888092041</v>
      </c>
      <c r="G63" s="19">
        <v>128.94400024414</v>
      </c>
      <c r="H63" s="49">
        <f t="shared" si="1"/>
        <v>4.4613376258012059E-2</v>
      </c>
      <c r="I63" s="49">
        <f t="shared" si="1"/>
        <v>0.14348037288458396</v>
      </c>
      <c r="J63" s="49">
        <f t="shared" si="1"/>
        <v>-1.341989007892172E-2</v>
      </c>
      <c r="K63" s="49">
        <f t="shared" si="1"/>
        <v>-8.3053074077959435E-2</v>
      </c>
      <c r="L63" s="49">
        <f t="shared" si="1"/>
        <v>3.1877249526763799E-3</v>
      </c>
      <c r="M63" s="49">
        <f t="shared" si="2"/>
        <v>-0.17001589846043519</v>
      </c>
      <c r="N63" s="1"/>
    </row>
    <row r="64" spans="1:14" ht="18">
      <c r="F64" s="78" t="s">
        <v>112</v>
      </c>
      <c r="G64" s="19" t="s">
        <v>13</v>
      </c>
      <c r="H64" s="19">
        <f t="shared" ref="H64:M64" si="3">AVERAGE(H4:H63)</f>
        <v>2.7485536248754171E-2</v>
      </c>
      <c r="I64" s="19">
        <f t="shared" si="3"/>
        <v>1.1431642613296969E-2</v>
      </c>
      <c r="J64" s="19">
        <f t="shared" si="3"/>
        <v>7.3865783242878531E-3</v>
      </c>
      <c r="K64" s="19">
        <f t="shared" si="3"/>
        <v>1.4620205209321805E-2</v>
      </c>
      <c r="L64" s="19">
        <f>AVERAGE(L4:L63)</f>
        <v>1.10804317942645E-3</v>
      </c>
      <c r="M64" s="19">
        <f t="shared" si="3"/>
        <v>1.6812294763744903E-2</v>
      </c>
      <c r="N64" s="4"/>
    </row>
    <row r="65" spans="1:23" ht="18">
      <c r="F65" s="79" t="s">
        <v>113</v>
      </c>
      <c r="G65" s="19" t="s">
        <v>14</v>
      </c>
      <c r="H65" s="19">
        <f t="shared" ref="H65:M65" si="4">H64*12</f>
        <v>0.32982643498505004</v>
      </c>
      <c r="I65" s="19">
        <f t="shared" si="4"/>
        <v>0.13717971135956364</v>
      </c>
      <c r="J65" s="19">
        <f t="shared" si="4"/>
        <v>8.8638939891454244E-2</v>
      </c>
      <c r="K65" s="19">
        <f t="shared" si="4"/>
        <v>0.17544246251186166</v>
      </c>
      <c r="L65" s="19">
        <f t="shared" si="4"/>
        <v>1.3296518153117401E-2</v>
      </c>
      <c r="M65" s="19">
        <f t="shared" si="4"/>
        <v>0.20174753716493882</v>
      </c>
    </row>
    <row r="66" spans="1:23" ht="18">
      <c r="F66" s="78" t="s">
        <v>114</v>
      </c>
      <c r="G66" s="20" t="s">
        <v>40</v>
      </c>
      <c r="H66" s="20">
        <f t="shared" ref="H66:M66" si="5">_xlfn.STDEV.S(H4:H63)</f>
        <v>9.2875036860306112E-2</v>
      </c>
      <c r="I66" s="20">
        <f t="shared" si="5"/>
        <v>0.10043640783792612</v>
      </c>
      <c r="J66" s="20">
        <f t="shared" si="5"/>
        <v>4.1187206654447153E-2</v>
      </c>
      <c r="K66" s="20">
        <f t="shared" si="5"/>
        <v>5.0200469700480976E-2</v>
      </c>
      <c r="L66" s="20">
        <f t="shared" si="5"/>
        <v>1.8389638395181088E-3</v>
      </c>
      <c r="M66" s="20">
        <f t="shared" si="5"/>
        <v>0.10047718623127891</v>
      </c>
    </row>
    <row r="67" spans="1:23" ht="18">
      <c r="F67" s="78" t="s">
        <v>115</v>
      </c>
      <c r="G67" s="1" t="s">
        <v>15</v>
      </c>
      <c r="H67" s="1">
        <f t="shared" ref="H67:M67" si="6">H66*(12^0.5)</f>
        <v>0.32172856519376486</v>
      </c>
      <c r="I67" s="1">
        <f t="shared" si="6"/>
        <v>0.34792192260999411</v>
      </c>
      <c r="J67" s="1">
        <f t="shared" si="6"/>
        <v>0.14267666909468285</v>
      </c>
      <c r="K67" s="1">
        <f t="shared" si="6"/>
        <v>0.17389952817011006</v>
      </c>
      <c r="L67" s="1">
        <f t="shared" si="6"/>
        <v>6.3703576066546069E-3</v>
      </c>
      <c r="M67" s="1">
        <f t="shared" si="6"/>
        <v>0.34806318310827022</v>
      </c>
    </row>
    <row r="70" spans="1:23" ht="18">
      <c r="I70" s="78" t="s">
        <v>116</v>
      </c>
      <c r="J70" s="78"/>
      <c r="K70" s="2"/>
      <c r="L70" s="3"/>
      <c r="M70"/>
      <c r="O70"/>
      <c r="P70"/>
    </row>
    <row r="71" spans="1:23">
      <c r="B71" s="8" t="s">
        <v>16</v>
      </c>
      <c r="C71" s="18"/>
      <c r="D71" s="18"/>
      <c r="E71" s="18"/>
      <c r="F71" s="18"/>
      <c r="G71" s="18"/>
      <c r="H71" s="18"/>
      <c r="J71" s="8" t="s">
        <v>18</v>
      </c>
      <c r="K71" s="8" t="s">
        <v>1</v>
      </c>
      <c r="L71" s="8" t="s">
        <v>2</v>
      </c>
      <c r="M71" s="8" t="s">
        <v>3</v>
      </c>
      <c r="N71" s="8" t="s">
        <v>4</v>
      </c>
      <c r="O71" s="8" t="s">
        <v>5</v>
      </c>
      <c r="P71" s="8" t="s">
        <v>6</v>
      </c>
      <c r="Q71" s="6" t="s">
        <v>19</v>
      </c>
    </row>
    <row r="72" spans="1:23">
      <c r="B72" s="7" t="s">
        <v>17</v>
      </c>
      <c r="C72" s="7" t="s">
        <v>1</v>
      </c>
      <c r="D72" s="7" t="s">
        <v>2</v>
      </c>
      <c r="E72" s="7" t="s">
        <v>3</v>
      </c>
      <c r="F72" s="7" t="s">
        <v>4</v>
      </c>
      <c r="G72" s="7" t="s">
        <v>5</v>
      </c>
      <c r="H72" s="7" t="s">
        <v>6</v>
      </c>
      <c r="J72" s="8" t="s">
        <v>20</v>
      </c>
      <c r="K72" s="8">
        <v>0.43861687092318874</v>
      </c>
      <c r="L72" s="8">
        <v>0</v>
      </c>
      <c r="M72" s="9">
        <v>0</v>
      </c>
      <c r="N72" s="9">
        <v>0.56138312907681109</v>
      </c>
      <c r="O72" s="9">
        <v>0</v>
      </c>
      <c r="P72" s="9">
        <v>0</v>
      </c>
      <c r="Q72" s="10">
        <f>SUM(K72:P72)</f>
        <v>0.99999999999999978</v>
      </c>
    </row>
    <row r="73" spans="1:23">
      <c r="B73" s="8" t="s">
        <v>1</v>
      </c>
      <c r="C73" s="7">
        <f t="shared" ref="C73:H73" si="7">_xlfn.COVARIANCE.S($H4:$H63,H4:H63)</f>
        <v>8.6257724718032218E-3</v>
      </c>
      <c r="D73" s="7">
        <f t="shared" si="7"/>
        <v>6.3096238259505661E-3</v>
      </c>
      <c r="E73" s="7">
        <f t="shared" si="7"/>
        <v>6.9642828429098379E-4</v>
      </c>
      <c r="F73" s="7">
        <f t="shared" si="7"/>
        <v>1.5045683057519973E-3</v>
      </c>
      <c r="G73" s="7">
        <f t="shared" si="7"/>
        <v>2.0641183269812521E-5</v>
      </c>
      <c r="H73" s="7">
        <f t="shared" si="7"/>
        <v>4.6394758698211939E-3</v>
      </c>
      <c r="K73" s="2"/>
      <c r="L73" s="3"/>
      <c r="M73"/>
      <c r="O73"/>
      <c r="P73"/>
      <c r="V73" s="1"/>
      <c r="W73" s="1"/>
    </row>
    <row r="74" spans="1:23" ht="16.899999999999999" customHeight="1">
      <c r="B74" s="8" t="s">
        <v>2</v>
      </c>
      <c r="C74" s="7">
        <f t="shared" ref="C74:H74" si="8">_xlfn.COVARIANCE.S($I4:$I63,H4:H63)</f>
        <v>6.3096238259505661E-3</v>
      </c>
      <c r="D74" s="7">
        <f t="shared" si="8"/>
        <v>1.0087472019386224E-2</v>
      </c>
      <c r="E74" s="7">
        <f t="shared" si="8"/>
        <v>9.0033721718636283E-4</v>
      </c>
      <c r="F74" s="7">
        <f t="shared" si="8"/>
        <v>2.7081893960726074E-4</v>
      </c>
      <c r="G74" s="7">
        <f t="shared" si="8"/>
        <v>7.0517538539800349E-5</v>
      </c>
      <c r="H74" s="7">
        <f t="shared" si="8"/>
        <v>2.9707490902148794E-3</v>
      </c>
      <c r="I74" s="108" t="s">
        <v>123</v>
      </c>
      <c r="J74" s="109"/>
      <c r="K74" s="109"/>
      <c r="L74" s="39"/>
      <c r="M74" s="80" t="s">
        <v>21</v>
      </c>
      <c r="N74" s="81" t="s">
        <v>22</v>
      </c>
      <c r="O74"/>
      <c r="P74"/>
      <c r="V74" s="1"/>
      <c r="W74" s="1"/>
    </row>
    <row r="75" spans="1:23" ht="16.899999999999999" customHeight="1">
      <c r="B75" s="8" t="s">
        <v>3</v>
      </c>
      <c r="C75" s="7">
        <f t="shared" ref="C75:H75" si="9">_xlfn.COVARIANCE.S($J4:$J63,H4:H63)</f>
        <v>6.9642828429098379E-4</v>
      </c>
      <c r="D75" s="7">
        <f t="shared" si="9"/>
        <v>9.0033721718636283E-4</v>
      </c>
      <c r="E75" s="7">
        <f t="shared" si="9"/>
        <v>1.6963859919961355E-3</v>
      </c>
      <c r="F75" s="7">
        <f t="shared" si="9"/>
        <v>7.1008241747705055E-4</v>
      </c>
      <c r="G75" s="7">
        <f t="shared" si="9"/>
        <v>2.2996215974777645E-5</v>
      </c>
      <c r="H75" s="7">
        <f t="shared" si="9"/>
        <v>4.6150042896727262E-4</v>
      </c>
      <c r="I75" s="108" t="s">
        <v>129</v>
      </c>
      <c r="J75" s="109"/>
      <c r="K75" s="109"/>
      <c r="L75" s="82" t="s">
        <v>24</v>
      </c>
      <c r="M75" s="83">
        <v>1.3296518832065281E-2</v>
      </c>
      <c r="N75" s="84">
        <v>6.3699999999999998E-3</v>
      </c>
      <c r="O75"/>
      <c r="P75"/>
    </row>
    <row r="76" spans="1:23" ht="16.899999999999999" customHeight="1">
      <c r="B76" s="8" t="s">
        <v>4</v>
      </c>
      <c r="C76" s="7">
        <f t="shared" ref="C76:H76" si="10">_xlfn.COVARIANCE.S($K4:$K63,H4:H63)</f>
        <v>1.5045683057519973E-3</v>
      </c>
      <c r="D76" s="7">
        <f t="shared" si="10"/>
        <v>2.7081893960726074E-4</v>
      </c>
      <c r="E76" s="7">
        <f t="shared" si="10"/>
        <v>7.1008241747705055E-4</v>
      </c>
      <c r="F76" s="7">
        <f t="shared" si="10"/>
        <v>2.5200871581489079E-3</v>
      </c>
      <c r="G76" s="7">
        <f t="shared" si="10"/>
        <v>4.1834565740598777E-6</v>
      </c>
      <c r="H76" s="7">
        <f t="shared" si="10"/>
        <v>1.5281694296966498E-3</v>
      </c>
      <c r="I76" s="108" t="s">
        <v>124</v>
      </c>
      <c r="J76" s="109"/>
      <c r="K76" s="109"/>
      <c r="L76" s="85"/>
      <c r="M76" s="86">
        <v>1.4999999999999999E-2</v>
      </c>
      <c r="N76" s="87">
        <v>6.6109999999999997E-3</v>
      </c>
    </row>
    <row r="77" spans="1:23">
      <c r="B77" s="8" t="s">
        <v>5</v>
      </c>
      <c r="C77" s="7">
        <f t="shared" ref="C77:H77" si="11">_xlfn.COVARIANCE.S($L4:$L63,H4:H63)</f>
        <v>2.0641183269812521E-5</v>
      </c>
      <c r="D77" s="7">
        <f t="shared" si="11"/>
        <v>7.0517538539800349E-5</v>
      </c>
      <c r="E77" s="7">
        <f t="shared" si="11"/>
        <v>2.2996215974777645E-5</v>
      </c>
      <c r="F77" s="7">
        <f t="shared" si="11"/>
        <v>4.1834565740598777E-6</v>
      </c>
      <c r="G77" s="7">
        <f t="shared" si="11"/>
        <v>3.3817880030551831E-6</v>
      </c>
      <c r="H77" s="7">
        <f t="shared" si="11"/>
        <v>7.5808195827543561E-6</v>
      </c>
      <c r="L77" s="85"/>
      <c r="M77" s="86">
        <f>0.02</f>
        <v>0.02</v>
      </c>
      <c r="N77" s="87">
        <v>8.8079999999999999E-3</v>
      </c>
    </row>
    <row r="78" spans="1:23">
      <c r="B78" s="8" t="s">
        <v>6</v>
      </c>
      <c r="C78" s="7">
        <f t="shared" ref="C78:H78" si="12">_xlfn.COVARIANCE.S($M4:$M63,H4:H63)</f>
        <v>4.6394758698211939E-3</v>
      </c>
      <c r="D78" s="7">
        <f t="shared" si="12"/>
        <v>2.9707490902148794E-3</v>
      </c>
      <c r="E78" s="7">
        <f t="shared" si="12"/>
        <v>4.6150042896727262E-4</v>
      </c>
      <c r="F78" s="7">
        <f t="shared" si="12"/>
        <v>1.5281694296966498E-3</v>
      </c>
      <c r="G78" s="7">
        <f t="shared" si="12"/>
        <v>7.5808195827543561E-6</v>
      </c>
      <c r="H78" s="7">
        <f t="shared" si="12"/>
        <v>1.009566495295511E-2</v>
      </c>
      <c r="L78" s="85"/>
      <c r="M78" s="86">
        <f t="shared" ref="M78:M107" si="13">M77+0.01</f>
        <v>0.03</v>
      </c>
      <c r="N78" s="87">
        <v>1.5885E-2</v>
      </c>
    </row>
    <row r="79" spans="1:23">
      <c r="L79" s="85"/>
      <c r="M79" s="86">
        <f t="shared" si="13"/>
        <v>0.04</v>
      </c>
      <c r="N79" s="87">
        <v>2.3820000000000001E-2</v>
      </c>
    </row>
    <row r="80" spans="1:23" ht="18.399999999999999" thickBot="1">
      <c r="A80" s="107" t="s">
        <v>122</v>
      </c>
      <c r="B80" s="107"/>
      <c r="C80" s="107"/>
      <c r="D80" s="107"/>
      <c r="E80" s="107"/>
      <c r="F80" s="107"/>
      <c r="G80" s="107"/>
      <c r="H80" s="107"/>
      <c r="L80" s="85"/>
      <c r="M80" s="86">
        <f t="shared" si="13"/>
        <v>0.05</v>
      </c>
      <c r="N80" s="87">
        <v>3.1973000000000001E-2</v>
      </c>
      <c r="R80" s="11"/>
      <c r="S80" s="11"/>
    </row>
    <row r="81" spans="1:17">
      <c r="A81" s="1"/>
      <c r="B81" s="21" t="s">
        <v>23</v>
      </c>
      <c r="C81" s="21"/>
      <c r="D81" s="21"/>
      <c r="E81" s="21"/>
      <c r="F81" s="21"/>
      <c r="G81" s="21"/>
      <c r="H81" s="21"/>
      <c r="L81" s="85"/>
      <c r="M81" s="86">
        <f t="shared" si="13"/>
        <v>6.0000000000000005E-2</v>
      </c>
      <c r="N81" s="87">
        <v>4.0210000000000003E-2</v>
      </c>
    </row>
    <row r="82" spans="1:17">
      <c r="A82" s="1"/>
      <c r="B82" s="8" t="s">
        <v>17</v>
      </c>
      <c r="C82" s="8" t="s">
        <v>1</v>
      </c>
      <c r="D82" s="8" t="s">
        <v>2</v>
      </c>
      <c r="E82" s="8" t="s">
        <v>3</v>
      </c>
      <c r="F82" s="8" t="s">
        <v>4</v>
      </c>
      <c r="G82" s="8" t="s">
        <v>5</v>
      </c>
      <c r="H82" s="8" t="s">
        <v>6</v>
      </c>
      <c r="L82" s="85"/>
      <c r="M82" s="86">
        <f t="shared" si="13"/>
        <v>7.0000000000000007E-2</v>
      </c>
      <c r="N82" s="87">
        <v>4.8489999999999998E-2</v>
      </c>
    </row>
    <row r="83" spans="1:17">
      <c r="A83" s="1"/>
      <c r="B83" s="8" t="s">
        <v>1</v>
      </c>
      <c r="C83" s="7">
        <f t="shared" ref="C83:H88" si="14">C73*12</f>
        <v>0.10350926966163866</v>
      </c>
      <c r="D83" s="7">
        <f t="shared" si="14"/>
        <v>7.5715485911406796E-2</v>
      </c>
      <c r="E83" s="7">
        <f t="shared" si="14"/>
        <v>8.3571394114918054E-3</v>
      </c>
      <c r="F83" s="7">
        <f t="shared" si="14"/>
        <v>1.8054819669023968E-2</v>
      </c>
      <c r="G83" s="7">
        <f t="shared" si="14"/>
        <v>2.4769419923775023E-4</v>
      </c>
      <c r="H83" s="7">
        <f t="shared" si="14"/>
        <v>5.5673710437854323E-2</v>
      </c>
      <c r="L83" s="85"/>
      <c r="M83" s="86">
        <f t="shared" si="13"/>
        <v>0.08</v>
      </c>
      <c r="N83" s="87">
        <v>5.6792000000000002E-2</v>
      </c>
    </row>
    <row r="84" spans="1:17">
      <c r="A84" s="1"/>
      <c r="B84" s="8" t="s">
        <v>2</v>
      </c>
      <c r="C84" s="7">
        <f t="shared" si="14"/>
        <v>7.5715485911406796E-2</v>
      </c>
      <c r="D84" s="7">
        <f t="shared" si="14"/>
        <v>0.12104966423263469</v>
      </c>
      <c r="E84" s="7">
        <f t="shared" si="14"/>
        <v>1.0804046606236354E-2</v>
      </c>
      <c r="F84" s="7">
        <f t="shared" si="14"/>
        <v>3.2498272752871289E-3</v>
      </c>
      <c r="G84" s="7">
        <f t="shared" si="14"/>
        <v>8.4621046247760419E-4</v>
      </c>
      <c r="H84" s="7">
        <f t="shared" si="14"/>
        <v>3.5648989082578554E-2</v>
      </c>
      <c r="L84" s="85"/>
      <c r="M84" s="86">
        <f t="shared" si="13"/>
        <v>0.09</v>
      </c>
      <c r="N84" s="87">
        <v>6.5110000000000001E-2</v>
      </c>
    </row>
    <row r="85" spans="1:17">
      <c r="A85" s="1"/>
      <c r="B85" s="8" t="s">
        <v>3</v>
      </c>
      <c r="C85" s="7">
        <f t="shared" si="14"/>
        <v>8.3571394114918054E-3</v>
      </c>
      <c r="D85" s="7">
        <f t="shared" si="14"/>
        <v>1.0804046606236354E-2</v>
      </c>
      <c r="E85" s="7">
        <f t="shared" si="14"/>
        <v>2.0356631903953627E-2</v>
      </c>
      <c r="F85" s="7">
        <f t="shared" si="14"/>
        <v>8.5209890097246062E-3</v>
      </c>
      <c r="G85" s="7">
        <f t="shared" si="14"/>
        <v>2.7595459169733172E-4</v>
      </c>
      <c r="H85" s="7">
        <f t="shared" si="14"/>
        <v>5.5380051476072714E-3</v>
      </c>
      <c r="L85" s="85"/>
      <c r="M85" s="86">
        <f t="shared" si="13"/>
        <v>9.9999999999999992E-2</v>
      </c>
      <c r="N85" s="87">
        <v>7.3437000000000002E-2</v>
      </c>
    </row>
    <row r="86" spans="1:17">
      <c r="A86" s="1"/>
      <c r="B86" s="8" t="s">
        <v>4</v>
      </c>
      <c r="C86" s="7">
        <f t="shared" si="14"/>
        <v>1.8054819669023968E-2</v>
      </c>
      <c r="D86" s="7">
        <f t="shared" si="14"/>
        <v>3.2498272752871289E-3</v>
      </c>
      <c r="E86" s="7">
        <f t="shared" si="14"/>
        <v>8.5209890097246062E-3</v>
      </c>
      <c r="F86" s="7">
        <f t="shared" si="14"/>
        <v>3.0241045897786895E-2</v>
      </c>
      <c r="G86" s="7">
        <f t="shared" si="14"/>
        <v>5.0201478888718532E-5</v>
      </c>
      <c r="H86" s="7">
        <f t="shared" si="14"/>
        <v>1.8338033156359797E-2</v>
      </c>
      <c r="L86" s="85"/>
      <c r="M86" s="86">
        <f t="shared" si="13"/>
        <v>0.10999999999999999</v>
      </c>
      <c r="N86" s="87">
        <v>8.1769999999999995E-2</v>
      </c>
    </row>
    <row r="87" spans="1:17">
      <c r="A87" s="1"/>
      <c r="B87" s="8" t="s">
        <v>5</v>
      </c>
      <c r="C87" s="7">
        <f t="shared" si="14"/>
        <v>2.4769419923775023E-4</v>
      </c>
      <c r="D87" s="7">
        <f t="shared" si="14"/>
        <v>8.4621046247760419E-4</v>
      </c>
      <c r="E87" s="7">
        <f t="shared" si="14"/>
        <v>2.7595459169733172E-4</v>
      </c>
      <c r="F87" s="7">
        <f t="shared" si="14"/>
        <v>5.0201478888718532E-5</v>
      </c>
      <c r="G87" s="7">
        <f t="shared" si="14"/>
        <v>4.0581456036662199E-5</v>
      </c>
      <c r="H87" s="7">
        <f t="shared" si="14"/>
        <v>9.096983499305227E-5</v>
      </c>
      <c r="L87" s="85"/>
      <c r="M87" s="86">
        <f t="shared" si="13"/>
        <v>0.11999999999999998</v>
      </c>
      <c r="N87" s="87">
        <v>9.0107999999999994E-2</v>
      </c>
    </row>
    <row r="88" spans="1:17">
      <c r="A88" s="1"/>
      <c r="B88" s="8" t="s">
        <v>6</v>
      </c>
      <c r="C88" s="7">
        <f t="shared" si="14"/>
        <v>5.5673710437854323E-2</v>
      </c>
      <c r="D88" s="7">
        <f t="shared" si="14"/>
        <v>3.5648989082578554E-2</v>
      </c>
      <c r="E88" s="7">
        <f t="shared" si="14"/>
        <v>5.5380051476072714E-3</v>
      </c>
      <c r="F88" s="7">
        <f t="shared" si="14"/>
        <v>1.8338033156359797E-2</v>
      </c>
      <c r="G88" s="7">
        <f t="shared" si="14"/>
        <v>9.096983499305227E-5</v>
      </c>
      <c r="H88" s="7">
        <f t="shared" si="14"/>
        <v>0.12114797943546132</v>
      </c>
      <c r="I88" s="12" t="s">
        <v>25</v>
      </c>
      <c r="L88" s="85"/>
      <c r="M88" s="86">
        <f t="shared" si="13"/>
        <v>0.12999999999999998</v>
      </c>
      <c r="N88" s="87">
        <v>9.8450999999999997E-2</v>
      </c>
    </row>
    <row r="89" spans="1:17">
      <c r="A89" s="1"/>
      <c r="B89" s="6" t="s">
        <v>26</v>
      </c>
      <c r="C89" s="6" cm="1">
        <f t="array" ref="C89">K72*SUMPRODUCT(TRANSPOSE($K72:$P72),C83:C88)</f>
        <v>2.435928231479299E-2</v>
      </c>
      <c r="D89" s="6" cm="1">
        <f t="array" ref="D89">L72*SUMPRODUCT(TRANSPOSE($K72:$P72),D83:D88)</f>
        <v>0</v>
      </c>
      <c r="E89" s="6" cm="1">
        <f t="array" ref="E89">M72*SUMPRODUCT(TRANSPOSE($K72:$P72),E83:E88)</f>
        <v>0</v>
      </c>
      <c r="F89" s="6" cm="1">
        <f t="array" ref="F89">N72*SUMPRODUCT(TRANSPOSE($K72:$P72),F83:F88)</f>
        <v>1.3976172757559781E-2</v>
      </c>
      <c r="G89" s="6" cm="1">
        <f t="array" ref="G89">O72*SUMPRODUCT(TRANSPOSE($K72:$P72),G83:G88)</f>
        <v>0</v>
      </c>
      <c r="H89" s="6" cm="1">
        <f t="array" ref="H89">P72*SUMPRODUCT(TRANSPOSE($K72:$P72),H83:H88)</f>
        <v>0</v>
      </c>
      <c r="I89" s="23">
        <f>SQRT(SUM(C89:H89))</f>
        <v>0.19579442043212766</v>
      </c>
      <c r="J89" s="16">
        <f>(I90-0.05)/I89</f>
        <v>0.98653413395595591</v>
      </c>
      <c r="L89" s="85"/>
      <c r="M89" s="86">
        <f t="shared" si="13"/>
        <v>0.13999999999999999</v>
      </c>
      <c r="N89" s="87">
        <v>0.106795</v>
      </c>
    </row>
    <row r="90" spans="1:17">
      <c r="A90" s="1"/>
      <c r="B90" s="1" t="s">
        <v>14</v>
      </c>
      <c r="C90" s="1">
        <v>0.32982642912186511</v>
      </c>
      <c r="D90" s="1">
        <v>0.137179711359566</v>
      </c>
      <c r="E90" s="1">
        <v>8.8638939891454605E-2</v>
      </c>
      <c r="F90" s="1">
        <v>0.1754424698639992</v>
      </c>
      <c r="G90" s="1">
        <v>1.3296518832065281E-2</v>
      </c>
      <c r="H90" s="1">
        <v>0.20174744990675061</v>
      </c>
      <c r="I90" s="16">
        <f>SUMPRODUCT(C90:H90, K72:P72)</f>
        <v>0.24315787899441738</v>
      </c>
      <c r="L90" s="85"/>
      <c r="M90" s="86">
        <f t="shared" si="13"/>
        <v>0.15</v>
      </c>
      <c r="N90" s="87">
        <v>0.11514199999999999</v>
      </c>
    </row>
    <row r="91" spans="1:17">
      <c r="A91" s="1"/>
      <c r="E91" s="14"/>
      <c r="I91" s="15"/>
      <c r="L91" s="85"/>
      <c r="M91" s="86">
        <f t="shared" si="13"/>
        <v>0.16</v>
      </c>
      <c r="N91" s="87">
        <v>0.123491</v>
      </c>
    </row>
    <row r="92" spans="1:17">
      <c r="A92" s="12"/>
      <c r="L92" s="85"/>
      <c r="M92" s="86">
        <f t="shared" si="13"/>
        <v>0.17</v>
      </c>
      <c r="N92" s="87">
        <v>0.13184000000000001</v>
      </c>
      <c r="Q92" s="4"/>
    </row>
    <row r="93" spans="1:17">
      <c r="A93" s="1"/>
      <c r="L93" s="85"/>
      <c r="M93" s="86">
        <f t="shared" si="13"/>
        <v>0.18000000000000002</v>
      </c>
      <c r="N93" s="87">
        <v>0.14019100000000001</v>
      </c>
    </row>
    <row r="94" spans="1:17">
      <c r="A94" s="1"/>
      <c r="L94" s="85"/>
      <c r="M94" s="86">
        <f t="shared" si="13"/>
        <v>0.19000000000000003</v>
      </c>
      <c r="N94" s="87">
        <v>0.14854300000000001</v>
      </c>
    </row>
    <row r="95" spans="1:17">
      <c r="A95" s="1"/>
      <c r="L95" s="85"/>
      <c r="M95" s="86">
        <f t="shared" si="13"/>
        <v>0.20000000000000004</v>
      </c>
      <c r="N95" s="87">
        <v>0.15689600000000001</v>
      </c>
    </row>
    <row r="96" spans="1:17" ht="18">
      <c r="A96" s="78" t="s">
        <v>117</v>
      </c>
      <c r="B96" s="78"/>
      <c r="C96" s="78"/>
      <c r="D96" s="78"/>
      <c r="E96" s="39" t="s">
        <v>1</v>
      </c>
      <c r="F96" s="27" t="s">
        <v>2</v>
      </c>
      <c r="G96" s="27" t="s">
        <v>3</v>
      </c>
      <c r="H96" s="27" t="s">
        <v>4</v>
      </c>
      <c r="I96" s="27" t="s">
        <v>5</v>
      </c>
      <c r="J96" s="35" t="s">
        <v>6</v>
      </c>
      <c r="L96" s="85"/>
      <c r="M96" s="86">
        <f t="shared" si="13"/>
        <v>0.21000000000000005</v>
      </c>
      <c r="N96" s="87">
        <v>0.16525100000000001</v>
      </c>
    </row>
    <row r="97" spans="1:14">
      <c r="A97" s="1"/>
      <c r="E97" s="40" t="s">
        <v>57</v>
      </c>
      <c r="F97" s="19">
        <v>0</v>
      </c>
      <c r="G97" s="19">
        <v>0</v>
      </c>
      <c r="H97" s="19">
        <v>0</v>
      </c>
      <c r="I97" s="19">
        <v>1</v>
      </c>
      <c r="J97" s="38">
        <v>0</v>
      </c>
      <c r="L97" s="85"/>
      <c r="M97" s="86">
        <f t="shared" si="13"/>
        <v>0.22000000000000006</v>
      </c>
      <c r="N97" s="87">
        <v>0.173899</v>
      </c>
    </row>
    <row r="98" spans="1:14">
      <c r="A98" s="1"/>
      <c r="F98" s="1" t="s">
        <v>27</v>
      </c>
      <c r="G98" s="1" t="s">
        <v>28</v>
      </c>
      <c r="K98" s="16"/>
      <c r="L98" s="85"/>
      <c r="M98" s="86">
        <f t="shared" si="13"/>
        <v>0.23000000000000007</v>
      </c>
      <c r="N98" s="87">
        <v>0.18306</v>
      </c>
    </row>
    <row r="99" spans="1:14">
      <c r="A99" s="1"/>
      <c r="E99" s="12" t="s">
        <v>24</v>
      </c>
      <c r="F99" s="13">
        <v>6.3699999999999998E-3</v>
      </c>
      <c r="G99" s="22">
        <v>1.3296518832065281E-2</v>
      </c>
      <c r="H99" s="16"/>
      <c r="I99" s="16"/>
      <c r="J99" s="16"/>
      <c r="K99" s="16"/>
      <c r="L99" s="85"/>
      <c r="M99" s="86">
        <f t="shared" si="13"/>
        <v>0.24000000000000007</v>
      </c>
      <c r="N99" s="87">
        <v>0.192662</v>
      </c>
    </row>
    <row r="100" spans="1:14" ht="18">
      <c r="A100" s="1"/>
      <c r="E100" s="103" t="s">
        <v>125</v>
      </c>
      <c r="F100" s="104"/>
      <c r="G100" s="104"/>
      <c r="H100" s="104"/>
      <c r="I100" s="104"/>
      <c r="J100" s="104"/>
      <c r="K100" s="16"/>
      <c r="L100" s="85"/>
      <c r="M100" s="86">
        <f t="shared" si="13"/>
        <v>0.25000000000000006</v>
      </c>
      <c r="N100" s="87">
        <v>0.20308499999999999</v>
      </c>
    </row>
    <row r="101" spans="1:14" ht="18">
      <c r="A101" s="1"/>
      <c r="E101" s="103" t="s">
        <v>126</v>
      </c>
      <c r="F101" s="104"/>
      <c r="G101" s="104"/>
      <c r="H101" s="104"/>
      <c r="I101" s="104"/>
      <c r="J101" s="104"/>
      <c r="K101" s="16"/>
      <c r="L101" s="85"/>
      <c r="M101" s="86">
        <f t="shared" si="13"/>
        <v>0.26000000000000006</v>
      </c>
      <c r="N101" s="87">
        <v>0.21490300000000001</v>
      </c>
    </row>
    <row r="102" spans="1:14" ht="18">
      <c r="A102" s="1"/>
      <c r="E102" s="103" t="s">
        <v>127</v>
      </c>
      <c r="F102" s="104"/>
      <c r="G102" s="104"/>
      <c r="H102" s="104"/>
      <c r="I102" s="104"/>
      <c r="J102" s="104"/>
      <c r="K102" s="16"/>
      <c r="L102" s="85"/>
      <c r="M102" s="86">
        <f t="shared" si="13"/>
        <v>0.27000000000000007</v>
      </c>
      <c r="N102" s="87">
        <v>0.227909</v>
      </c>
    </row>
    <row r="103" spans="1:14" ht="18">
      <c r="A103" s="78" t="s">
        <v>118</v>
      </c>
      <c r="B103" s="78"/>
      <c r="C103" s="78"/>
      <c r="D103" s="78"/>
      <c r="E103" s="39" t="s">
        <v>1</v>
      </c>
      <c r="F103" s="27" t="s">
        <v>2</v>
      </c>
      <c r="G103" s="27" t="s">
        <v>3</v>
      </c>
      <c r="H103" s="27" t="s">
        <v>4</v>
      </c>
      <c r="I103" s="27" t="s">
        <v>5</v>
      </c>
      <c r="J103" s="35" t="s">
        <v>6</v>
      </c>
      <c r="K103" s="16"/>
      <c r="L103" s="85"/>
      <c r="M103" s="86">
        <f t="shared" si="13"/>
        <v>0.28000000000000008</v>
      </c>
      <c r="N103" s="87">
        <v>0.24191099999999999</v>
      </c>
    </row>
    <row r="104" spans="1:14">
      <c r="A104" s="1"/>
      <c r="E104" s="40">
        <v>0.32564007595649241</v>
      </c>
      <c r="F104" s="19">
        <v>0</v>
      </c>
      <c r="G104" s="19">
        <v>0.16815417441464067</v>
      </c>
      <c r="H104" s="19">
        <v>0.50620574962886689</v>
      </c>
      <c r="I104" s="19">
        <v>0</v>
      </c>
      <c r="J104" s="38">
        <v>0</v>
      </c>
      <c r="K104" s="16"/>
      <c r="L104" s="85"/>
      <c r="M104" s="86">
        <f t="shared" si="13"/>
        <v>0.29000000000000009</v>
      </c>
      <c r="N104" s="87">
        <v>0.25674599999999997</v>
      </c>
    </row>
    <row r="105" spans="1:14">
      <c r="A105" s="1"/>
      <c r="F105" s="16" t="s">
        <v>27</v>
      </c>
      <c r="G105" s="16" t="s">
        <v>28</v>
      </c>
      <c r="J105" s="16"/>
      <c r="K105" s="16"/>
      <c r="L105" s="85"/>
      <c r="M105" s="86">
        <f t="shared" si="13"/>
        <v>0.3000000000000001</v>
      </c>
      <c r="N105" s="87">
        <v>0.27227800000000002</v>
      </c>
    </row>
    <row r="106" spans="1:14">
      <c r="A106" s="1"/>
      <c r="E106" s="41" t="s">
        <v>38</v>
      </c>
      <c r="F106" s="16">
        <v>0.16619026470869055</v>
      </c>
      <c r="G106" s="16">
        <v>0.21111983341133211</v>
      </c>
      <c r="I106" s="16"/>
      <c r="J106" s="16"/>
      <c r="K106" s="16"/>
      <c r="L106" s="85"/>
      <c r="M106" s="86">
        <f t="shared" si="13"/>
        <v>0.31000000000000011</v>
      </c>
      <c r="N106" s="87">
        <v>0.28839500000000001</v>
      </c>
    </row>
    <row r="107" spans="1:14">
      <c r="A107" s="1"/>
      <c r="B107" s="17"/>
      <c r="E107" s="16" t="s">
        <v>42</v>
      </c>
      <c r="F107" s="16">
        <v>0</v>
      </c>
      <c r="G107" s="16">
        <v>1.4E-2</v>
      </c>
      <c r="L107" s="85"/>
      <c r="M107" s="86">
        <f t="shared" si="13"/>
        <v>0.32000000000000012</v>
      </c>
      <c r="N107" s="87">
        <v>0.305004</v>
      </c>
    </row>
    <row r="108" spans="1:14">
      <c r="A108" s="1"/>
      <c r="E108" s="16" t="s">
        <v>29</v>
      </c>
      <c r="F108" s="16">
        <v>1.186109389426659</v>
      </c>
      <c r="G108" s="16"/>
      <c r="K108" s="12"/>
      <c r="L108" s="90" t="s">
        <v>31</v>
      </c>
      <c r="M108" s="88">
        <v>0.32979999999999998</v>
      </c>
      <c r="N108" s="89">
        <v>0.32172899999999999</v>
      </c>
    </row>
    <row r="109" spans="1:14" ht="18">
      <c r="A109" s="78" t="s">
        <v>119</v>
      </c>
      <c r="B109" s="78"/>
      <c r="C109" s="78"/>
      <c r="D109" s="78"/>
      <c r="E109" s="39" t="s">
        <v>1</v>
      </c>
      <c r="F109" s="27" t="s">
        <v>2</v>
      </c>
      <c r="G109" s="27" t="s">
        <v>3</v>
      </c>
      <c r="H109" s="27" t="s">
        <v>4</v>
      </c>
      <c r="I109" s="27" t="s">
        <v>5</v>
      </c>
      <c r="J109" s="35" t="s">
        <v>6</v>
      </c>
      <c r="L109"/>
      <c r="M109" s="2"/>
      <c r="N109" s="3"/>
    </row>
    <row r="110" spans="1:14">
      <c r="A110" s="1"/>
      <c r="E110" s="40">
        <v>0.43861687092318874</v>
      </c>
      <c r="F110" s="19">
        <v>0</v>
      </c>
      <c r="G110" s="19">
        <v>0</v>
      </c>
      <c r="H110" s="19">
        <v>0.56138312907681109</v>
      </c>
      <c r="I110" s="19">
        <v>0</v>
      </c>
      <c r="J110" s="38">
        <v>0</v>
      </c>
    </row>
    <row r="111" spans="1:14">
      <c r="A111" s="1"/>
      <c r="E111" s="16"/>
      <c r="F111" s="16" t="s">
        <v>27</v>
      </c>
      <c r="G111" s="16" t="s">
        <v>28</v>
      </c>
    </row>
    <row r="112" spans="1:14">
      <c r="A112" s="1"/>
      <c r="E112" s="41" t="s">
        <v>39</v>
      </c>
      <c r="F112" s="16">
        <v>0.19579441048936719</v>
      </c>
      <c r="G112" s="16">
        <v>0.24315787975768022</v>
      </c>
    </row>
    <row r="113" spans="1:13">
      <c r="A113" s="1"/>
      <c r="E113" s="16" t="s">
        <v>41</v>
      </c>
      <c r="F113" s="16">
        <v>0</v>
      </c>
      <c r="G113" s="16">
        <v>0.05</v>
      </c>
    </row>
    <row r="114" spans="1:13">
      <c r="A114" s="1"/>
      <c r="E114" s="16" t="s">
        <v>30</v>
      </c>
      <c r="F114" s="16">
        <v>0.98653418795206038</v>
      </c>
      <c r="M114"/>
    </row>
    <row r="115" spans="1:13">
      <c r="A115" s="1"/>
    </row>
    <row r="116" spans="1:13" ht="18">
      <c r="A116" s="78" t="s">
        <v>120</v>
      </c>
      <c r="B116" s="78"/>
      <c r="C116" s="78"/>
      <c r="D116" s="78"/>
      <c r="E116" s="33" t="s">
        <v>47</v>
      </c>
      <c r="F116" s="34" t="s">
        <v>46</v>
      </c>
      <c r="G116" s="27" t="s">
        <v>1</v>
      </c>
      <c r="H116" s="27" t="s">
        <v>2</v>
      </c>
      <c r="I116" s="27" t="s">
        <v>3</v>
      </c>
      <c r="J116" s="27" t="s">
        <v>4</v>
      </c>
      <c r="K116" s="27" t="s">
        <v>5</v>
      </c>
      <c r="L116" s="35" t="s">
        <v>6</v>
      </c>
    </row>
    <row r="117" spans="1:13" ht="15.75" customHeight="1">
      <c r="A117" s="91" t="s">
        <v>51</v>
      </c>
      <c r="B117" s="91" t="s">
        <v>52</v>
      </c>
      <c r="C117" s="91"/>
      <c r="D117" s="91"/>
      <c r="E117" s="36">
        <v>1</v>
      </c>
      <c r="F117" s="37">
        <f>1-E117</f>
        <v>0</v>
      </c>
      <c r="G117" s="19">
        <v>0.37841090159690383</v>
      </c>
      <c r="H117" s="19">
        <v>0</v>
      </c>
      <c r="I117" s="19">
        <v>8.0564717305900604E-2</v>
      </c>
      <c r="J117" s="19">
        <v>0.54102438109719553</v>
      </c>
      <c r="K117" s="19">
        <v>0</v>
      </c>
      <c r="L117" s="38">
        <v>0</v>
      </c>
    </row>
    <row r="118" spans="1:13" ht="15.75" customHeight="1">
      <c r="A118" s="93">
        <f>(G106-G107)/(6*(F106^2))</f>
        <v>1.1895094974026914</v>
      </c>
      <c r="B118" s="93">
        <f>(G112-G113)/(6*(F112^2))</f>
        <v>0.83977047275108929</v>
      </c>
      <c r="C118" s="91" t="s">
        <v>56</v>
      </c>
      <c r="D118" s="91"/>
      <c r="E118" s="1" t="s">
        <v>48</v>
      </c>
      <c r="F118" t="s">
        <v>44</v>
      </c>
      <c r="G118" s="1" t="s">
        <v>43</v>
      </c>
      <c r="H118" s="1" t="s">
        <v>49</v>
      </c>
      <c r="I118" s="25" t="s">
        <v>45</v>
      </c>
    </row>
    <row r="119" spans="1:13" ht="18">
      <c r="A119" s="92" t="s">
        <v>128</v>
      </c>
      <c r="B119" s="91"/>
      <c r="C119" s="91"/>
      <c r="D119" s="92"/>
      <c r="E119" s="12" t="s">
        <v>50</v>
      </c>
      <c r="F119" s="24">
        <v>0.18014154725387463</v>
      </c>
      <c r="G119" s="24">
        <v>0.22686974122547557</v>
      </c>
      <c r="H119" s="24">
        <v>3.2450977047019942E-2</v>
      </c>
      <c r="I119" s="26">
        <f>G119-0.5*6*H119</f>
        <v>0.12951681008441573</v>
      </c>
    </row>
    <row r="120" spans="1:13" ht="18">
      <c r="A120" s="78" t="s">
        <v>121</v>
      </c>
      <c r="B120" s="78"/>
      <c r="C120" s="78"/>
      <c r="D120" s="78"/>
      <c r="E120" s="78"/>
    </row>
    <row r="121" spans="1:13">
      <c r="E121" s="30" t="s">
        <v>53</v>
      </c>
      <c r="F121" s="31">
        <v>0.12951681008441601</v>
      </c>
      <c r="G121" s="30" t="s">
        <v>55</v>
      </c>
      <c r="H121" s="30">
        <v>0.1</v>
      </c>
      <c r="I121" s="30" t="s">
        <v>54</v>
      </c>
      <c r="J121" s="29">
        <v>0.18</v>
      </c>
    </row>
    <row r="122" spans="1:13">
      <c r="E122" s="28" t="s">
        <v>43</v>
      </c>
      <c r="F122" s="28" t="s">
        <v>44</v>
      </c>
      <c r="G122" s="28" t="s">
        <v>43</v>
      </c>
      <c r="H122" s="28" t="s">
        <v>44</v>
      </c>
      <c r="I122" s="28" t="s">
        <v>43</v>
      </c>
      <c r="J122" s="28" t="s">
        <v>44</v>
      </c>
    </row>
    <row r="123" spans="1:13">
      <c r="E123" s="28">
        <v>0.18</v>
      </c>
      <c r="F123" s="28">
        <f>((E123-$F$121)/3)^0.5</f>
        <v>0.12972174055208066</v>
      </c>
      <c r="G123" s="28">
        <v>0.16</v>
      </c>
      <c r="H123" s="28">
        <f>((G123-$H$121)/3)^0.5</f>
        <v>0.1414213562373095</v>
      </c>
      <c r="I123" s="28">
        <v>0.22</v>
      </c>
      <c r="J123" s="28">
        <f>((I123-$J$121)/3)^0.5</f>
        <v>0.11547005383792516</v>
      </c>
    </row>
    <row r="124" spans="1:13">
      <c r="E124" s="28">
        <v>0.2</v>
      </c>
      <c r="F124" s="28">
        <f>((E124-$F$121)/3)^0.5</f>
        <v>0.15327881992802528</v>
      </c>
      <c r="G124" s="28">
        <v>0.18</v>
      </c>
      <c r="H124" s="28">
        <f t="shared" ref="H124:H133" si="15">((G124-$H$121)/3)^0.5</f>
        <v>0.16329931618554519</v>
      </c>
      <c r="I124" s="28">
        <v>0.24</v>
      </c>
      <c r="J124" s="28">
        <f t="shared" ref="J124:J133" si="16">((I124-$J$121)/3)^0.5</f>
        <v>0.1414213562373095</v>
      </c>
    </row>
    <row r="125" spans="1:13">
      <c r="E125" s="28">
        <v>0.22</v>
      </c>
      <c r="F125" s="28">
        <f t="shared" ref="F125:F133" si="17">((E125-$F$121)/3)^0.5</f>
        <v>0.17366940808672857</v>
      </c>
      <c r="G125" s="28">
        <v>0.2</v>
      </c>
      <c r="H125" s="28">
        <f t="shared" si="15"/>
        <v>0.18257418583505536</v>
      </c>
      <c r="I125" s="28">
        <v>0.26</v>
      </c>
      <c r="J125" s="28">
        <f t="shared" si="16"/>
        <v>0.16329931618554522</v>
      </c>
    </row>
    <row r="126" spans="1:13">
      <c r="E126" s="32">
        <v>0.22686974122547601</v>
      </c>
      <c r="F126" s="32">
        <f t="shared" si="17"/>
        <v>0.18014154725387477</v>
      </c>
      <c r="G126" s="28">
        <v>0.22</v>
      </c>
      <c r="H126" s="28">
        <f t="shared" si="15"/>
        <v>0.2</v>
      </c>
      <c r="I126" s="28">
        <v>0.28000000000000003</v>
      </c>
      <c r="J126" s="28">
        <f t="shared" si="16"/>
        <v>0.18257418583505541</v>
      </c>
    </row>
    <row r="127" spans="1:13">
      <c r="E127" s="28">
        <v>0.24</v>
      </c>
      <c r="F127" s="28">
        <f t="shared" si="17"/>
        <v>0.19190552355745608</v>
      </c>
      <c r="G127" s="28">
        <v>0.24</v>
      </c>
      <c r="H127" s="28">
        <f t="shared" si="15"/>
        <v>0.21602468994692867</v>
      </c>
      <c r="I127" s="28">
        <v>0.3</v>
      </c>
      <c r="J127" s="28">
        <f t="shared" si="16"/>
        <v>0.2</v>
      </c>
    </row>
    <row r="128" spans="1:13">
      <c r="E128" s="28">
        <v>0.26</v>
      </c>
      <c r="F128" s="28">
        <f t="shared" si="17"/>
        <v>0.20855310268257338</v>
      </c>
      <c r="G128" s="28">
        <v>0.26</v>
      </c>
      <c r="H128" s="28">
        <f t="shared" si="15"/>
        <v>0.23094010767585033</v>
      </c>
      <c r="I128" s="28">
        <v>0.32</v>
      </c>
      <c r="J128" s="28">
        <f t="shared" si="16"/>
        <v>0.21602468994692867</v>
      </c>
    </row>
    <row r="129" spans="5:10">
      <c r="E129" s="28">
        <v>0.28000000000000003</v>
      </c>
      <c r="F129" s="28">
        <f t="shared" si="17"/>
        <v>0.22396665668173615</v>
      </c>
      <c r="G129" s="28">
        <v>0.28000000000000003</v>
      </c>
      <c r="H129" s="28">
        <f t="shared" si="15"/>
        <v>0.24494897427831783</v>
      </c>
      <c r="I129" s="28">
        <v>0.34</v>
      </c>
      <c r="J129" s="28">
        <f t="shared" si="16"/>
        <v>0.23094010767585033</v>
      </c>
    </row>
    <row r="130" spans="5:10">
      <c r="E130" s="28">
        <v>0.3</v>
      </c>
      <c r="F130" s="28">
        <f t="shared" si="17"/>
        <v>0.23838567484616463</v>
      </c>
      <c r="G130" s="28">
        <v>0.3</v>
      </c>
      <c r="H130" s="28">
        <f>((G130-$H$121)/3)^0.5</f>
        <v>0.2581988897471611</v>
      </c>
      <c r="I130" s="28">
        <v>0.36</v>
      </c>
      <c r="J130" s="28">
        <f t="shared" si="16"/>
        <v>0.2449489742783178</v>
      </c>
    </row>
    <row r="131" spans="5:10">
      <c r="E131" s="28">
        <v>0.32</v>
      </c>
      <c r="F131" s="28">
        <f t="shared" si="17"/>
        <v>0.25198094499094176</v>
      </c>
      <c r="G131" s="28">
        <v>0.32</v>
      </c>
      <c r="H131" s="28">
        <f t="shared" si="15"/>
        <v>0.27080128015453203</v>
      </c>
      <c r="I131" s="28">
        <v>0.38</v>
      </c>
      <c r="J131" s="28">
        <f t="shared" si="16"/>
        <v>0.2581988897471611</v>
      </c>
    </row>
    <row r="132" spans="5:10">
      <c r="E132" s="28">
        <v>0.34</v>
      </c>
      <c r="F132" s="28">
        <f t="shared" si="17"/>
        <v>0.26487933725603185</v>
      </c>
      <c r="G132" s="28">
        <v>0.34</v>
      </c>
      <c r="H132" s="28">
        <f>((G132-$H$121)/3)^0.5</f>
        <v>0.28284271247461901</v>
      </c>
      <c r="I132" s="28">
        <v>0.4</v>
      </c>
      <c r="J132" s="28">
        <f t="shared" si="16"/>
        <v>0.27080128015453203</v>
      </c>
    </row>
    <row r="133" spans="5:10">
      <c r="E133" s="28">
        <v>0.36</v>
      </c>
      <c r="F133" s="28">
        <f t="shared" si="17"/>
        <v>0.27717815565419529</v>
      </c>
      <c r="G133" s="28">
        <v>0.36</v>
      </c>
      <c r="H133" s="28">
        <f t="shared" si="15"/>
        <v>0.29439202887759491</v>
      </c>
      <c r="I133" s="28">
        <v>0.42</v>
      </c>
      <c r="J133" s="28">
        <f t="shared" si="16"/>
        <v>0.28284271247461901</v>
      </c>
    </row>
  </sheetData>
  <mergeCells count="9">
    <mergeCell ref="E100:J100"/>
    <mergeCell ref="E101:J101"/>
    <mergeCell ref="E102:J102"/>
    <mergeCell ref="A1:G1"/>
    <mergeCell ref="H1:M1"/>
    <mergeCell ref="A80:H80"/>
    <mergeCell ref="I74:K74"/>
    <mergeCell ref="I75:K75"/>
    <mergeCell ref="I76:K76"/>
  </mergeCells>
  <phoneticPr fontId="9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E1C8-0872-4903-A67C-B2911B12B99B}">
  <dimension ref="A1:AI149"/>
  <sheetViews>
    <sheetView topLeftCell="H20" zoomScale="69" zoomScaleNormal="69" workbookViewId="0">
      <selection activeCell="AB5" sqref="AB5"/>
    </sheetView>
  </sheetViews>
  <sheetFormatPr defaultColWidth="8.8125" defaultRowHeight="15.75"/>
  <cols>
    <col min="6" max="6" width="23.375" bestFit="1" customWidth="1"/>
    <col min="7" max="7" width="15.8125" bestFit="1" customWidth="1"/>
    <col min="11" max="11" width="9.9375" bestFit="1" customWidth="1"/>
    <col min="12" max="12" width="14.375" bestFit="1" customWidth="1"/>
    <col min="14" max="14" width="20.3125" bestFit="1" customWidth="1"/>
    <col min="15" max="15" width="19.5" bestFit="1" customWidth="1"/>
    <col min="16" max="16" width="12.75" bestFit="1" customWidth="1"/>
    <col min="17" max="17" width="8.875" bestFit="1" customWidth="1"/>
    <col min="18" max="18" width="13.375" style="53" bestFit="1" customWidth="1"/>
    <col min="19" max="19" width="12.5625" style="53" bestFit="1" customWidth="1"/>
    <col min="20" max="20" width="13.5625" style="53" bestFit="1" customWidth="1"/>
    <col min="21" max="22" width="11.9375" style="53" bestFit="1" customWidth="1"/>
    <col min="23" max="24" width="18.625" style="53" bestFit="1" customWidth="1"/>
    <col min="25" max="26" width="11.9375" style="53" bestFit="1" customWidth="1"/>
    <col min="27" max="27" width="15.8125" style="53" bestFit="1" customWidth="1"/>
    <col min="28" max="29" width="8.8125" style="53"/>
    <col min="30" max="30" width="15.375" style="53" bestFit="1" customWidth="1"/>
    <col min="31" max="33" width="8.8125" style="53"/>
    <col min="35" max="35" width="15.1875" bestFit="1" customWidth="1"/>
  </cols>
  <sheetData>
    <row r="1" spans="1:35" ht="18">
      <c r="A1" s="98" t="s">
        <v>32</v>
      </c>
      <c r="B1" s="97" t="s">
        <v>33</v>
      </c>
      <c r="C1" s="97" t="s">
        <v>34</v>
      </c>
      <c r="D1" s="97" t="s">
        <v>35</v>
      </c>
      <c r="E1" s="97" t="s">
        <v>36</v>
      </c>
      <c r="F1" s="66" t="s">
        <v>37</v>
      </c>
      <c r="G1" s="97" t="s">
        <v>33</v>
      </c>
      <c r="H1" s="97" t="s">
        <v>34</v>
      </c>
      <c r="I1" s="97" t="s">
        <v>35</v>
      </c>
      <c r="J1" s="96" t="s">
        <v>36</v>
      </c>
      <c r="K1" s="98" t="s">
        <v>58</v>
      </c>
      <c r="L1" s="75" t="s">
        <v>59</v>
      </c>
      <c r="M1" s="98" t="s">
        <v>60</v>
      </c>
      <c r="N1" t="s">
        <v>61</v>
      </c>
      <c r="O1" t="s">
        <v>97</v>
      </c>
      <c r="P1" t="s">
        <v>98</v>
      </c>
      <c r="Q1" s="98" t="s">
        <v>86</v>
      </c>
      <c r="R1" s="91" t="s">
        <v>131</v>
      </c>
      <c r="S1" s="91"/>
      <c r="T1" s="91"/>
      <c r="U1" s="91"/>
      <c r="V1" s="91"/>
      <c r="W1" s="91"/>
      <c r="X1" s="91"/>
      <c r="Y1" s="100" t="s">
        <v>87</v>
      </c>
      <c r="Z1" s="99" t="s">
        <v>130</v>
      </c>
      <c r="AA1" s="98"/>
      <c r="AC1"/>
      <c r="AD1"/>
      <c r="AE1"/>
    </row>
    <row r="2" spans="1:35" ht="18">
      <c r="A2" s="94">
        <v>201806</v>
      </c>
      <c r="B2" s="42">
        <v>0.48</v>
      </c>
      <c r="C2" s="42">
        <v>1.1399999999999999</v>
      </c>
      <c r="D2" s="42">
        <v>-2.34</v>
      </c>
      <c r="E2" s="67">
        <v>0.14000000000000001</v>
      </c>
      <c r="F2" s="43"/>
      <c r="G2" s="70">
        <f>B2*0.01</f>
        <v>4.7999999999999996E-3</v>
      </c>
      <c r="H2" s="43">
        <f t="shared" ref="H2:J17" si="0">C2*0.01</f>
        <v>1.1399999999999999E-2</v>
      </c>
      <c r="I2" s="43">
        <f t="shared" si="0"/>
        <v>-2.3400000000000001E-2</v>
      </c>
      <c r="J2" s="71">
        <f t="shared" si="0"/>
        <v>1.4000000000000002E-3</v>
      </c>
      <c r="L2" s="76">
        <f>SUMPRODUCT('Q1'!$G$117:$L$117,'Q1'!H4:M4)</f>
        <v>3.1126082000814757E-2</v>
      </c>
      <c r="N2">
        <f t="shared" ref="N2:N33" si="1">L2-J2</f>
        <v>2.9726082000814759E-2</v>
      </c>
      <c r="O2">
        <f t="shared" ref="O2:O33" si="2">G2</f>
        <v>4.7999999999999996E-3</v>
      </c>
      <c r="P2">
        <f>G2+J2</f>
        <v>6.1999999999999998E-3</v>
      </c>
      <c r="R2" s="91" t="s">
        <v>132</v>
      </c>
      <c r="S2" s="91"/>
      <c r="T2" s="91"/>
      <c r="U2" s="91"/>
      <c r="V2" s="91"/>
      <c r="W2" s="91"/>
      <c r="X2" s="91"/>
      <c r="Z2" s="91" t="s">
        <v>134</v>
      </c>
      <c r="AA2" s="91"/>
      <c r="AB2" s="91"/>
      <c r="AC2" s="91"/>
      <c r="AD2" s="91"/>
      <c r="AE2" s="91"/>
      <c r="AF2" s="91"/>
      <c r="AG2" s="91"/>
      <c r="AH2" s="91"/>
      <c r="AI2" s="91"/>
    </row>
    <row r="3" spans="1:35" ht="18">
      <c r="A3" s="94">
        <v>201807</v>
      </c>
      <c r="B3" s="42">
        <v>3.19</v>
      </c>
      <c r="C3" s="42">
        <v>-2.2200000000000002</v>
      </c>
      <c r="D3" s="42">
        <v>0.47</v>
      </c>
      <c r="E3" s="67">
        <v>0.16</v>
      </c>
      <c r="F3" s="43"/>
      <c r="G3" s="70">
        <f>B3*0.01</f>
        <v>3.1899999999999998E-2</v>
      </c>
      <c r="H3" s="43">
        <f t="shared" si="0"/>
        <v>-2.2200000000000001E-2</v>
      </c>
      <c r="I3" s="43">
        <f t="shared" si="0"/>
        <v>4.7000000000000002E-3</v>
      </c>
      <c r="J3" s="71">
        <f t="shared" si="0"/>
        <v>1.6000000000000001E-3</v>
      </c>
      <c r="L3" s="76">
        <f>SUMPRODUCT('Q1'!$G$117:$L$117,'Q1'!H5:M5)</f>
        <v>2.8328105665821258E-2</v>
      </c>
      <c r="N3">
        <f t="shared" si="1"/>
        <v>2.6728105665821258E-2</v>
      </c>
      <c r="O3">
        <f t="shared" si="2"/>
        <v>3.1899999999999998E-2</v>
      </c>
      <c r="P3">
        <f t="shared" ref="P3:P61" si="3">G3+J3</f>
        <v>3.3499999999999995E-2</v>
      </c>
      <c r="S3" s="59" t="s">
        <v>76</v>
      </c>
      <c r="T3" s="60">
        <f>S19</f>
        <v>1.2217368016511774E-2</v>
      </c>
      <c r="U3" s="91" t="s">
        <v>133</v>
      </c>
      <c r="V3" s="91"/>
      <c r="W3" s="91"/>
      <c r="X3" s="91"/>
      <c r="Z3" s="91" t="s">
        <v>135</v>
      </c>
      <c r="AA3" s="91"/>
      <c r="AB3" s="91"/>
      <c r="AC3" s="91"/>
      <c r="AD3" s="91"/>
      <c r="AE3" s="91"/>
      <c r="AF3" s="91"/>
      <c r="AG3" s="91"/>
      <c r="AH3" s="91"/>
      <c r="AI3" s="91"/>
    </row>
    <row r="4" spans="1:35" ht="18.399999999999999" thickBot="1">
      <c r="A4" s="94">
        <v>201808</v>
      </c>
      <c r="B4" s="42">
        <v>3.44</v>
      </c>
      <c r="C4" s="42">
        <v>1.1399999999999999</v>
      </c>
      <c r="D4" s="42">
        <v>-3.94</v>
      </c>
      <c r="E4" s="67">
        <v>0.16</v>
      </c>
      <c r="F4" s="43"/>
      <c r="G4" s="70">
        <f t="shared" ref="G4:J61" si="4">B4*0.01</f>
        <v>3.44E-2</v>
      </c>
      <c r="H4" s="43">
        <f t="shared" si="0"/>
        <v>1.1399999999999999E-2</v>
      </c>
      <c r="I4" s="43">
        <f t="shared" si="0"/>
        <v>-3.9399999999999998E-2</v>
      </c>
      <c r="J4" s="71">
        <f t="shared" si="0"/>
        <v>1.6000000000000001E-3</v>
      </c>
      <c r="L4" s="76">
        <f>SUMPRODUCT('Q1'!$G$117:$L$117,'Q1'!H6:M6)</f>
        <v>9.1414347800390289E-2</v>
      </c>
      <c r="N4">
        <f t="shared" si="1"/>
        <v>8.9814347800390285E-2</v>
      </c>
      <c r="O4">
        <f t="shared" si="2"/>
        <v>3.44E-2</v>
      </c>
      <c r="P4">
        <f t="shared" si="3"/>
        <v>3.5999999999999997E-2</v>
      </c>
      <c r="R4" t="s">
        <v>75</v>
      </c>
      <c r="S4" s="59" t="s">
        <v>77</v>
      </c>
      <c r="T4" s="60">
        <f>S20</f>
        <v>0.66136143824625204</v>
      </c>
      <c r="U4" s="91"/>
      <c r="V4" s="91"/>
      <c r="W4" s="91"/>
      <c r="X4" s="91"/>
      <c r="Z4" s="60" t="s">
        <v>95</v>
      </c>
      <c r="AA4"/>
      <c r="AB4" s="60">
        <f>N63/AE5</f>
        <v>1.1820133859664024</v>
      </c>
      <c r="AC4"/>
      <c r="AD4" s="63" t="s">
        <v>94</v>
      </c>
      <c r="AE4" s="63">
        <f>O63/AE6</f>
        <v>0.51885502176872922</v>
      </c>
    </row>
    <row r="5" spans="1:35">
      <c r="A5" s="94">
        <v>201809</v>
      </c>
      <c r="B5" s="42">
        <v>0.06</v>
      </c>
      <c r="C5" s="42">
        <v>-2.27</v>
      </c>
      <c r="D5" s="42">
        <v>-1.7</v>
      </c>
      <c r="E5" s="67">
        <v>0.15</v>
      </c>
      <c r="F5" s="43"/>
      <c r="G5" s="70">
        <f t="shared" si="4"/>
        <v>5.9999999999999995E-4</v>
      </c>
      <c r="H5" s="43">
        <f t="shared" si="0"/>
        <v>-2.2700000000000001E-2</v>
      </c>
      <c r="I5" s="43">
        <f t="shared" si="0"/>
        <v>-1.7000000000000001E-2</v>
      </c>
      <c r="J5" s="71">
        <f t="shared" si="0"/>
        <v>1.5E-3</v>
      </c>
      <c r="L5" s="76">
        <f>SUMPRODUCT('Q1'!$G$117:$L$117,'Q1'!H7:M7)</f>
        <v>-5.3186657595103836E-4</v>
      </c>
      <c r="N5">
        <f t="shared" si="1"/>
        <v>-2.0318665759510384E-3</v>
      </c>
      <c r="O5">
        <f t="shared" si="2"/>
        <v>5.9999999999999995E-4</v>
      </c>
      <c r="P5">
        <f t="shared" si="3"/>
        <v>2.0999999999999999E-3</v>
      </c>
      <c r="R5" s="56" t="s">
        <v>102</v>
      </c>
      <c r="S5" s="56"/>
      <c r="T5"/>
      <c r="U5"/>
      <c r="V5"/>
      <c r="Z5" s="60" t="s">
        <v>88</v>
      </c>
      <c r="AA5"/>
      <c r="AB5" s="60">
        <f>N63/T4*100</f>
        <v>32.195668987159863</v>
      </c>
      <c r="AC5"/>
      <c r="AD5" s="63" t="s">
        <v>99</v>
      </c>
      <c r="AE5" s="63">
        <f>_xlfn.STDEV.S(L2:L61)*(12^0.5)</f>
        <v>0.1801415635343197</v>
      </c>
    </row>
    <row r="6" spans="1:35">
      <c r="A6" s="94">
        <v>201810</v>
      </c>
      <c r="B6" s="42">
        <v>-7.68</v>
      </c>
      <c r="C6" s="42">
        <v>-4.78</v>
      </c>
      <c r="D6" s="42">
        <v>3.4</v>
      </c>
      <c r="E6" s="67">
        <v>0.19</v>
      </c>
      <c r="F6" s="43"/>
      <c r="G6" s="70">
        <f t="shared" si="4"/>
        <v>-7.6799999999999993E-2</v>
      </c>
      <c r="H6" s="43">
        <f t="shared" si="0"/>
        <v>-4.7800000000000002E-2</v>
      </c>
      <c r="I6" s="43">
        <f t="shared" si="0"/>
        <v>3.4000000000000002E-2</v>
      </c>
      <c r="J6" s="71">
        <f t="shared" si="0"/>
        <v>1.9E-3</v>
      </c>
      <c r="L6" s="76">
        <f>SUMPRODUCT('Q1'!$G$117:$L$117,'Q1'!H8:M8)</f>
        <v>2.5601554801104001E-2</v>
      </c>
      <c r="N6">
        <f t="shared" si="1"/>
        <v>2.3701554801104002E-2</v>
      </c>
      <c r="O6">
        <f t="shared" si="2"/>
        <v>-7.6799999999999993E-2</v>
      </c>
      <c r="P6">
        <f t="shared" si="3"/>
        <v>-7.4899999999999994E-2</v>
      </c>
      <c r="R6" s="53" t="s">
        <v>78</v>
      </c>
      <c r="S6" s="53">
        <v>0.71051029145321143</v>
      </c>
      <c r="T6"/>
      <c r="U6"/>
      <c r="V6"/>
      <c r="W6"/>
      <c r="X6"/>
      <c r="Y6"/>
      <c r="Z6" s="60" t="s">
        <v>89</v>
      </c>
      <c r="AA6"/>
      <c r="AB6" s="60">
        <f>(AB4-AE4)*AE6</f>
        <v>0.12816975450106485</v>
      </c>
      <c r="AC6"/>
      <c r="AD6" s="63" t="s">
        <v>96</v>
      </c>
      <c r="AE6" s="63">
        <f>_xlfn.STDEV.S(P2:P61)*(12^0.5)</f>
        <v>0.19327171520505806</v>
      </c>
    </row>
    <row r="7" spans="1:35">
      <c r="A7" s="94">
        <v>201811</v>
      </c>
      <c r="B7" s="42">
        <v>1.69</v>
      </c>
      <c r="C7" s="42">
        <v>-0.68</v>
      </c>
      <c r="D7" s="42">
        <v>0.3</v>
      </c>
      <c r="E7" s="67">
        <v>0.18</v>
      </c>
      <c r="F7" s="43"/>
      <c r="G7" s="70">
        <f t="shared" si="4"/>
        <v>1.6899999999999998E-2</v>
      </c>
      <c r="H7" s="43">
        <f t="shared" si="0"/>
        <v>-6.8000000000000005E-3</v>
      </c>
      <c r="I7" s="43">
        <f t="shared" si="0"/>
        <v>3.0000000000000001E-3</v>
      </c>
      <c r="J7" s="71">
        <f t="shared" si="0"/>
        <v>1.8E-3</v>
      </c>
      <c r="L7" s="76">
        <f>SUMPRODUCT('Q1'!$G$117:$L$117,'Q1'!H9:M9)</f>
        <v>-2.8708811611734449E-2</v>
      </c>
      <c r="N7">
        <f t="shared" si="1"/>
        <v>-3.0508811611734448E-2</v>
      </c>
      <c r="O7">
        <f t="shared" si="2"/>
        <v>1.6899999999999998E-2</v>
      </c>
      <c r="P7">
        <f t="shared" si="3"/>
        <v>1.8699999999999998E-2</v>
      </c>
      <c r="R7" s="63" t="s">
        <v>79</v>
      </c>
      <c r="S7" s="63">
        <v>0.50482487426092748</v>
      </c>
      <c r="T7"/>
      <c r="U7"/>
      <c r="V7"/>
      <c r="W7"/>
      <c r="X7"/>
      <c r="Y7"/>
      <c r="Z7" s="60" t="s">
        <v>90</v>
      </c>
      <c r="AA7"/>
      <c r="AB7" s="60">
        <f>T3/AE7</f>
        <v>9.6379422106010831E-2</v>
      </c>
      <c r="AC7"/>
      <c r="AD7" s="63" t="s">
        <v>100</v>
      </c>
      <c r="AE7" s="63">
        <f>((1-S7)*AE5^2)^0.5</f>
        <v>0.12676324208577944</v>
      </c>
    </row>
    <row r="8" spans="1:35">
      <c r="A8" s="94">
        <v>201812</v>
      </c>
      <c r="B8" s="42">
        <v>-9.57</v>
      </c>
      <c r="C8" s="42">
        <v>-2.38</v>
      </c>
      <c r="D8" s="42">
        <v>-1.84</v>
      </c>
      <c r="E8" s="67">
        <v>0.2</v>
      </c>
      <c r="F8" s="43"/>
      <c r="G8" s="70">
        <f t="shared" si="4"/>
        <v>-9.5700000000000007E-2</v>
      </c>
      <c r="H8" s="43">
        <f t="shared" si="0"/>
        <v>-2.3799999999999998E-2</v>
      </c>
      <c r="I8" s="43">
        <f t="shared" si="0"/>
        <v>-1.84E-2</v>
      </c>
      <c r="J8" s="71">
        <f t="shared" si="0"/>
        <v>2E-3</v>
      </c>
      <c r="L8" s="76">
        <f>SUMPRODUCT('Q1'!$G$117:$L$117,'Q1'!H10:M10)</f>
        <v>-5.3838605828653949E-2</v>
      </c>
      <c r="N8">
        <f t="shared" si="1"/>
        <v>-5.5838605828653951E-2</v>
      </c>
      <c r="O8">
        <f t="shared" si="2"/>
        <v>-9.5700000000000007E-2</v>
      </c>
      <c r="P8">
        <f t="shared" si="3"/>
        <v>-9.3700000000000006E-2</v>
      </c>
      <c r="R8" s="53" t="s">
        <v>80</v>
      </c>
      <c r="S8" s="53">
        <v>0.49628737209301244</v>
      </c>
      <c r="T8"/>
      <c r="U8"/>
      <c r="V8"/>
      <c r="W8"/>
      <c r="X8"/>
      <c r="Y8"/>
      <c r="Z8"/>
    </row>
    <row r="9" spans="1:35">
      <c r="A9" s="94">
        <v>201901</v>
      </c>
      <c r="B9" s="42">
        <v>8.4</v>
      </c>
      <c r="C9" s="42">
        <v>2.9</v>
      </c>
      <c r="D9" s="42">
        <v>-0.46</v>
      </c>
      <c r="E9" s="67">
        <v>0.21</v>
      </c>
      <c r="F9" s="43"/>
      <c r="G9" s="70">
        <f t="shared" si="4"/>
        <v>8.4000000000000005E-2</v>
      </c>
      <c r="H9" s="43">
        <f t="shared" si="0"/>
        <v>2.8999999999999998E-2</v>
      </c>
      <c r="I9" s="43">
        <f t="shared" si="0"/>
        <v>-4.5999999999999999E-3</v>
      </c>
      <c r="J9" s="71">
        <f t="shared" si="0"/>
        <v>2.0999999999999999E-3</v>
      </c>
      <c r="L9" s="76">
        <f>SUMPRODUCT('Q1'!$G$117:$L$117,'Q1'!H11:M11)</f>
        <v>4.9976949167213749E-2</v>
      </c>
      <c r="N9">
        <f t="shared" si="1"/>
        <v>4.7876949167213752E-2</v>
      </c>
      <c r="O9">
        <f t="shared" si="2"/>
        <v>8.4000000000000005E-2</v>
      </c>
      <c r="P9">
        <f t="shared" si="3"/>
        <v>8.610000000000001E-2</v>
      </c>
      <c r="R9" s="53" t="s">
        <v>81</v>
      </c>
      <c r="S9" s="53">
        <v>3.6936138588181407E-2</v>
      </c>
      <c r="T9"/>
      <c r="U9"/>
      <c r="V9"/>
      <c r="W9"/>
      <c r="X9"/>
      <c r="Y9"/>
      <c r="Z9"/>
    </row>
    <row r="10" spans="1:35" ht="16.149999999999999" thickBot="1">
      <c r="A10" s="94">
        <v>201902</v>
      </c>
      <c r="B10" s="42">
        <v>3.4</v>
      </c>
      <c r="C10" s="42">
        <v>2.0499999999999998</v>
      </c>
      <c r="D10" s="42">
        <v>-2.67</v>
      </c>
      <c r="E10" s="67">
        <v>0.18</v>
      </c>
      <c r="F10" s="43"/>
      <c r="G10" s="70">
        <f t="shared" si="4"/>
        <v>3.4000000000000002E-2</v>
      </c>
      <c r="H10" s="43">
        <f t="shared" si="0"/>
        <v>2.0499999999999997E-2</v>
      </c>
      <c r="I10" s="43">
        <f t="shared" si="0"/>
        <v>-2.6700000000000002E-2</v>
      </c>
      <c r="J10" s="71">
        <f t="shared" si="0"/>
        <v>1.8E-3</v>
      </c>
      <c r="L10" s="76">
        <f>SUMPRODUCT('Q1'!$G$117:$L$117,'Q1'!H12:M12)</f>
        <v>3.0800943122077748E-2</v>
      </c>
      <c r="N10">
        <f t="shared" si="1"/>
        <v>2.9000943122077748E-2</v>
      </c>
      <c r="O10">
        <f t="shared" si="2"/>
        <v>3.4000000000000002E-2</v>
      </c>
      <c r="P10">
        <f t="shared" si="3"/>
        <v>3.5800000000000005E-2</v>
      </c>
      <c r="R10" s="54" t="s">
        <v>74</v>
      </c>
      <c r="S10" s="54">
        <v>60</v>
      </c>
      <c r="T10"/>
      <c r="U10"/>
      <c r="V10"/>
      <c r="W10"/>
      <c r="X10"/>
      <c r="Y10"/>
      <c r="Z10"/>
    </row>
    <row r="11" spans="1:35">
      <c r="A11" s="94">
        <v>201903</v>
      </c>
      <c r="B11" s="42">
        <v>1.1000000000000001</v>
      </c>
      <c r="C11" s="42">
        <v>-3.05</v>
      </c>
      <c r="D11" s="42">
        <v>-4.17</v>
      </c>
      <c r="E11" s="67">
        <v>0.19</v>
      </c>
      <c r="F11" s="43"/>
      <c r="G11" s="70">
        <f t="shared" si="4"/>
        <v>1.1000000000000001E-2</v>
      </c>
      <c r="H11" s="43">
        <f t="shared" si="0"/>
        <v>-3.0499999999999999E-2</v>
      </c>
      <c r="I11" s="43">
        <f t="shared" si="0"/>
        <v>-4.1700000000000001E-2</v>
      </c>
      <c r="J11" s="71">
        <f t="shared" si="0"/>
        <v>1.9E-3</v>
      </c>
      <c r="L11" s="76">
        <f>SUMPRODUCT('Q1'!$G$117:$L$117,'Q1'!H13:M13)</f>
        <v>6.7403864464478241E-2</v>
      </c>
      <c r="N11">
        <f t="shared" si="1"/>
        <v>6.5503864464478243E-2</v>
      </c>
      <c r="O11">
        <f t="shared" si="2"/>
        <v>1.1000000000000001E-2</v>
      </c>
      <c r="P11">
        <f t="shared" si="3"/>
        <v>1.2900000000000002E-2</v>
      </c>
      <c r="R11"/>
      <c r="S11"/>
      <c r="T11"/>
      <c r="U11"/>
      <c r="V11"/>
      <c r="W11"/>
      <c r="X11"/>
      <c r="Y11"/>
      <c r="Z11"/>
    </row>
    <row r="12" spans="1:35" ht="16.149999999999999" thickBot="1">
      <c r="A12" s="94">
        <v>201904</v>
      </c>
      <c r="B12" s="42">
        <v>3.97</v>
      </c>
      <c r="C12" s="42">
        <v>-1.74</v>
      </c>
      <c r="D12" s="42">
        <v>2.15</v>
      </c>
      <c r="E12" s="67">
        <v>0.21</v>
      </c>
      <c r="F12" s="43"/>
      <c r="G12" s="70">
        <f t="shared" si="4"/>
        <v>3.9700000000000006E-2</v>
      </c>
      <c r="H12" s="43">
        <f t="shared" si="0"/>
        <v>-1.7399999999999999E-2</v>
      </c>
      <c r="I12" s="43">
        <f t="shared" si="0"/>
        <v>2.1499999999999998E-2</v>
      </c>
      <c r="J12" s="71">
        <f t="shared" si="0"/>
        <v>2.0999999999999999E-3</v>
      </c>
      <c r="L12" s="76">
        <f>SUMPRODUCT('Q1'!$G$117:$L$117,'Q1'!H14:M14)</f>
        <v>3.3456185037236963E-2</v>
      </c>
      <c r="N12">
        <f t="shared" si="1"/>
        <v>3.1356185037236965E-2</v>
      </c>
      <c r="O12">
        <f t="shared" si="2"/>
        <v>3.9700000000000006E-2</v>
      </c>
      <c r="P12">
        <f t="shared" si="3"/>
        <v>4.1800000000000004E-2</v>
      </c>
      <c r="R12" t="s">
        <v>62</v>
      </c>
      <c r="S12"/>
      <c r="T12"/>
      <c r="U12"/>
      <c r="V12"/>
      <c r="W12"/>
      <c r="X12"/>
      <c r="Y12"/>
      <c r="Z12"/>
    </row>
    <row r="13" spans="1:35">
      <c r="A13" s="94">
        <v>201905</v>
      </c>
      <c r="B13" s="42">
        <v>-6.94</v>
      </c>
      <c r="C13" s="42">
        <v>-1.32</v>
      </c>
      <c r="D13" s="42">
        <v>-2.37</v>
      </c>
      <c r="E13" s="67">
        <v>0.21</v>
      </c>
      <c r="F13" s="43"/>
      <c r="G13" s="70">
        <f t="shared" si="4"/>
        <v>-6.9400000000000003E-2</v>
      </c>
      <c r="H13" s="43">
        <f t="shared" si="0"/>
        <v>-1.3200000000000002E-2</v>
      </c>
      <c r="I13" s="43">
        <f t="shared" si="0"/>
        <v>-2.3700000000000002E-2</v>
      </c>
      <c r="J13" s="71">
        <f t="shared" si="0"/>
        <v>2.0999999999999999E-3</v>
      </c>
      <c r="L13" s="76">
        <f>SUMPRODUCT('Q1'!$G$117:$L$117,'Q1'!H15:M15)</f>
        <v>-6.1306875963617384E-2</v>
      </c>
      <c r="N13">
        <f t="shared" si="1"/>
        <v>-6.3406875963617382E-2</v>
      </c>
      <c r="O13">
        <f t="shared" si="2"/>
        <v>-6.9400000000000003E-2</v>
      </c>
      <c r="P13">
        <f t="shared" si="3"/>
        <v>-6.7299999999999999E-2</v>
      </c>
      <c r="R13" s="55"/>
      <c r="S13" s="55" t="s">
        <v>91</v>
      </c>
      <c r="T13" s="55" t="s">
        <v>63</v>
      </c>
      <c r="U13" s="55" t="s">
        <v>64</v>
      </c>
      <c r="V13" s="55" t="s">
        <v>65</v>
      </c>
      <c r="W13" s="55" t="s">
        <v>82</v>
      </c>
      <c r="X13"/>
      <c r="Y13"/>
      <c r="Z13"/>
    </row>
    <row r="14" spans="1:35">
      <c r="A14" s="94">
        <v>201906</v>
      </c>
      <c r="B14" s="42">
        <v>6.93</v>
      </c>
      <c r="C14" s="42">
        <v>0.28999999999999998</v>
      </c>
      <c r="D14" s="42">
        <v>-0.71</v>
      </c>
      <c r="E14" s="67">
        <v>0.18</v>
      </c>
      <c r="F14" s="43"/>
      <c r="G14" s="70">
        <f t="shared" si="4"/>
        <v>6.93E-2</v>
      </c>
      <c r="H14" s="43">
        <f t="shared" si="0"/>
        <v>2.8999999999999998E-3</v>
      </c>
      <c r="I14" s="43">
        <f t="shared" si="0"/>
        <v>-7.0999999999999995E-3</v>
      </c>
      <c r="J14" s="71">
        <f t="shared" si="0"/>
        <v>1.8E-3</v>
      </c>
      <c r="L14" s="76">
        <f>SUMPRODUCT('Q1'!$G$117:$L$117,'Q1'!H16:M16)</f>
        <v>9.2918734963786706E-2</v>
      </c>
      <c r="N14">
        <f t="shared" si="1"/>
        <v>9.111873496378671E-2</v>
      </c>
      <c r="O14">
        <f t="shared" si="2"/>
        <v>6.93E-2</v>
      </c>
      <c r="P14">
        <f t="shared" si="3"/>
        <v>7.1099999999999997E-2</v>
      </c>
      <c r="R14" s="53" t="s">
        <v>66</v>
      </c>
      <c r="S14" s="53">
        <v>1</v>
      </c>
      <c r="T14" s="53">
        <v>8.0670156771202775E-2</v>
      </c>
      <c r="U14" s="53">
        <v>8.0670156771202775E-2</v>
      </c>
      <c r="V14" s="53">
        <v>59.130277724334853</v>
      </c>
      <c r="W14" s="53">
        <v>2.0321216094508505E-10</v>
      </c>
      <c r="X14"/>
      <c r="Y14"/>
      <c r="Z14"/>
    </row>
    <row r="15" spans="1:35">
      <c r="A15" s="94">
        <v>201907</v>
      </c>
      <c r="B15" s="42">
        <v>1.19</v>
      </c>
      <c r="C15" s="42">
        <v>-1.93</v>
      </c>
      <c r="D15" s="42">
        <v>0.48</v>
      </c>
      <c r="E15" s="67">
        <v>0.19</v>
      </c>
      <c r="F15" s="43"/>
      <c r="G15" s="70">
        <f t="shared" si="4"/>
        <v>1.1899999999999999E-2</v>
      </c>
      <c r="H15" s="43">
        <f t="shared" si="0"/>
        <v>-1.9300000000000001E-2</v>
      </c>
      <c r="I15" s="43">
        <f t="shared" si="0"/>
        <v>4.7999999999999996E-3</v>
      </c>
      <c r="J15" s="71">
        <f t="shared" si="0"/>
        <v>1.9E-3</v>
      </c>
      <c r="L15" s="76">
        <f>SUMPRODUCT('Q1'!$G$117:$L$117,'Q1'!H17:M17)</f>
        <v>7.0311672654329888E-2</v>
      </c>
      <c r="N15">
        <f t="shared" si="1"/>
        <v>6.8411672654329889E-2</v>
      </c>
      <c r="O15">
        <f t="shared" si="2"/>
        <v>1.1899999999999999E-2</v>
      </c>
      <c r="P15">
        <f t="shared" si="3"/>
        <v>1.38E-2</v>
      </c>
      <c r="R15" s="53" t="s">
        <v>67</v>
      </c>
      <c r="S15" s="53">
        <v>58</v>
      </c>
      <c r="T15" s="53">
        <v>7.9128143360709932E-2</v>
      </c>
      <c r="U15" s="53">
        <v>1.3642783338053436E-3</v>
      </c>
      <c r="X15"/>
      <c r="Y15"/>
      <c r="Z15"/>
    </row>
    <row r="16" spans="1:35" ht="16.149999999999999" thickBot="1">
      <c r="A16" s="94">
        <v>201908</v>
      </c>
      <c r="B16" s="42">
        <v>-2.58</v>
      </c>
      <c r="C16" s="42">
        <v>-2.38</v>
      </c>
      <c r="D16" s="42">
        <v>-4.78</v>
      </c>
      <c r="E16" s="67">
        <v>0.16</v>
      </c>
      <c r="F16" s="43"/>
      <c r="G16" s="70">
        <f t="shared" si="4"/>
        <v>-2.58E-2</v>
      </c>
      <c r="H16" s="43">
        <f t="shared" si="0"/>
        <v>-2.3799999999999998E-2</v>
      </c>
      <c r="I16" s="43">
        <f t="shared" si="0"/>
        <v>-4.7800000000000002E-2</v>
      </c>
      <c r="J16" s="71">
        <f t="shared" si="0"/>
        <v>1.6000000000000001E-3</v>
      </c>
      <c r="L16" s="76">
        <f>SUMPRODUCT('Q1'!$G$117:$L$117,'Q1'!H18:M18)</f>
        <v>1.2343183698771971E-2</v>
      </c>
      <c r="N16">
        <f t="shared" si="1"/>
        <v>1.0743183698771971E-2</v>
      </c>
      <c r="O16">
        <f t="shared" si="2"/>
        <v>-2.58E-2</v>
      </c>
      <c r="P16">
        <f t="shared" si="3"/>
        <v>-2.4199999999999999E-2</v>
      </c>
      <c r="R16" s="54" t="s">
        <v>19</v>
      </c>
      <c r="S16" s="54">
        <v>59</v>
      </c>
      <c r="T16" s="54">
        <v>0.15979830013191271</v>
      </c>
      <c r="U16" s="54"/>
      <c r="V16" s="54"/>
      <c r="W16" s="54"/>
      <c r="X16"/>
      <c r="Y16"/>
      <c r="Z16"/>
    </row>
    <row r="17" spans="1:27" ht="16.149999999999999" thickBot="1">
      <c r="A17" s="94">
        <v>201909</v>
      </c>
      <c r="B17" s="42">
        <v>1.43</v>
      </c>
      <c r="C17" s="42">
        <v>-0.96</v>
      </c>
      <c r="D17" s="42">
        <v>6.75</v>
      </c>
      <c r="E17" s="67">
        <v>0.18</v>
      </c>
      <c r="F17" s="43"/>
      <c r="G17" s="70">
        <f t="shared" si="4"/>
        <v>1.43E-2</v>
      </c>
      <c r="H17" s="43">
        <f t="shared" si="0"/>
        <v>-9.5999999999999992E-3</v>
      </c>
      <c r="I17" s="43">
        <f t="shared" si="0"/>
        <v>6.7500000000000004E-2</v>
      </c>
      <c r="J17" s="71">
        <f t="shared" si="0"/>
        <v>1.8E-3</v>
      </c>
      <c r="L17" s="76">
        <f>SUMPRODUCT('Q1'!$G$117:$L$117,'Q1'!H19:M19)</f>
        <v>4.5091665393925506E-2</v>
      </c>
      <c r="N17">
        <f t="shared" si="1"/>
        <v>4.3291665393925503E-2</v>
      </c>
      <c r="O17">
        <f t="shared" si="2"/>
        <v>1.43E-2</v>
      </c>
      <c r="P17">
        <f t="shared" si="3"/>
        <v>1.61E-2</v>
      </c>
      <c r="R17"/>
      <c r="S17"/>
      <c r="T17"/>
      <c r="U17"/>
      <c r="V17"/>
      <c r="W17"/>
      <c r="X17"/>
      <c r="Y17"/>
      <c r="Z17"/>
    </row>
    <row r="18" spans="1:27">
      <c r="A18" s="94">
        <v>201910</v>
      </c>
      <c r="B18" s="42">
        <v>2.06</v>
      </c>
      <c r="C18" s="42">
        <v>0.28999999999999998</v>
      </c>
      <c r="D18" s="42">
        <v>-1.91</v>
      </c>
      <c r="E18" s="67">
        <v>0.16</v>
      </c>
      <c r="F18" s="43"/>
      <c r="G18" s="70">
        <f t="shared" si="4"/>
        <v>2.06E-2</v>
      </c>
      <c r="H18" s="43">
        <f t="shared" si="4"/>
        <v>2.8999999999999998E-3</v>
      </c>
      <c r="I18" s="43">
        <f t="shared" si="4"/>
        <v>-1.9099999999999999E-2</v>
      </c>
      <c r="J18" s="71">
        <f t="shared" si="4"/>
        <v>1.6000000000000001E-3</v>
      </c>
      <c r="L18" s="76">
        <f>SUMPRODUCT('Q1'!$G$117:$L$117,'Q1'!H20:M20)</f>
        <v>4.4515125337710321E-2</v>
      </c>
      <c r="N18">
        <f t="shared" si="1"/>
        <v>4.2915125337710323E-2</v>
      </c>
      <c r="O18">
        <f t="shared" si="2"/>
        <v>2.06E-2</v>
      </c>
      <c r="P18">
        <f t="shared" si="3"/>
        <v>2.2200000000000001E-2</v>
      </c>
      <c r="R18" s="55"/>
      <c r="S18" s="55" t="s">
        <v>83</v>
      </c>
      <c r="T18" s="55" t="s">
        <v>81</v>
      </c>
      <c r="U18" s="55" t="s">
        <v>84</v>
      </c>
      <c r="V18" s="55" t="s">
        <v>69</v>
      </c>
      <c r="W18" s="55" t="s">
        <v>70</v>
      </c>
      <c r="X18" s="55" t="s">
        <v>71</v>
      </c>
      <c r="Y18" s="55" t="s">
        <v>72</v>
      </c>
      <c r="Z18" s="55" t="s">
        <v>73</v>
      </c>
    </row>
    <row r="19" spans="1:27">
      <c r="A19" s="94">
        <v>201911</v>
      </c>
      <c r="B19" s="42">
        <v>3.87</v>
      </c>
      <c r="C19" s="42">
        <v>0.77</v>
      </c>
      <c r="D19" s="42">
        <v>-2.02</v>
      </c>
      <c r="E19" s="67">
        <v>0.12</v>
      </c>
      <c r="F19" s="43"/>
      <c r="G19" s="70">
        <f t="shared" si="4"/>
        <v>3.8700000000000005E-2</v>
      </c>
      <c r="H19" s="43">
        <f t="shared" si="4"/>
        <v>7.7000000000000002E-3</v>
      </c>
      <c r="I19" s="43">
        <f t="shared" si="4"/>
        <v>-2.0199999999999999E-2</v>
      </c>
      <c r="J19" s="71">
        <f t="shared" si="4"/>
        <v>1.1999999999999999E-3</v>
      </c>
      <c r="L19" s="76">
        <f>SUMPRODUCT('Q1'!$G$117:$L$117,'Q1'!H21:M21)</f>
        <v>1.8283819326341419E-2</v>
      </c>
      <c r="N19">
        <f t="shared" si="1"/>
        <v>1.7083819326341419E-2</v>
      </c>
      <c r="O19">
        <f t="shared" si="2"/>
        <v>3.8700000000000005E-2</v>
      </c>
      <c r="P19">
        <f t="shared" si="3"/>
        <v>3.9900000000000005E-2</v>
      </c>
      <c r="R19" s="53" t="s">
        <v>68</v>
      </c>
      <c r="S19" s="63">
        <v>1.2217368016511774E-2</v>
      </c>
      <c r="T19" s="53">
        <v>4.8222969564268971E-3</v>
      </c>
      <c r="U19" s="53">
        <v>2.5335163153378857</v>
      </c>
      <c r="V19" s="57">
        <v>1.4017435362318333E-2</v>
      </c>
      <c r="W19" s="53">
        <v>2.5644918850916999E-3</v>
      </c>
      <c r="X19" s="53">
        <v>2.1870244147931848E-2</v>
      </c>
      <c r="Y19" s="53">
        <v>2.5644918850916999E-3</v>
      </c>
      <c r="Z19" s="53">
        <v>2.1870244147931848E-2</v>
      </c>
      <c r="AA19" s="57" t="s">
        <v>92</v>
      </c>
    </row>
    <row r="20" spans="1:27" ht="16.149999999999999" thickBot="1">
      <c r="A20" s="94">
        <v>201912</v>
      </c>
      <c r="B20" s="42">
        <v>2.77</v>
      </c>
      <c r="C20" s="42">
        <v>0.73</v>
      </c>
      <c r="D20" s="42">
        <v>1.75</v>
      </c>
      <c r="E20" s="67">
        <v>0.14000000000000001</v>
      </c>
      <c r="F20" s="43"/>
      <c r="G20" s="70">
        <f t="shared" si="4"/>
        <v>2.7700000000000002E-2</v>
      </c>
      <c r="H20" s="43">
        <f t="shared" si="4"/>
        <v>7.3000000000000001E-3</v>
      </c>
      <c r="I20" s="43">
        <f t="shared" si="4"/>
        <v>1.7500000000000002E-2</v>
      </c>
      <c r="J20" s="71">
        <f t="shared" si="4"/>
        <v>1.4000000000000002E-3</v>
      </c>
      <c r="L20" s="76">
        <f>SUMPRODUCT('Q1'!$G$117:$L$117,'Q1'!H22:M22)</f>
        <v>5.4162820931423009E-2</v>
      </c>
      <c r="N20">
        <f t="shared" si="1"/>
        <v>5.276282093142301E-2</v>
      </c>
      <c r="O20">
        <f t="shared" si="2"/>
        <v>2.7700000000000002E-2</v>
      </c>
      <c r="P20">
        <f t="shared" si="3"/>
        <v>2.9100000000000001E-2</v>
      </c>
      <c r="R20" s="54" t="s">
        <v>85</v>
      </c>
      <c r="S20" s="63">
        <v>0.66136143824625204</v>
      </c>
      <c r="T20" s="54">
        <v>8.6007021845741008E-2</v>
      </c>
      <c r="U20" s="54">
        <v>7.689621429194994</v>
      </c>
      <c r="V20" s="58">
        <v>2.0321216094508357E-10</v>
      </c>
      <c r="W20" s="54">
        <v>0.48919967885837107</v>
      </c>
      <c r="X20" s="54">
        <v>0.83352319763413307</v>
      </c>
      <c r="Y20" s="54">
        <v>0.48919967885837107</v>
      </c>
      <c r="Z20" s="54">
        <v>0.83352319763413307</v>
      </c>
      <c r="AA20" s="57" t="s">
        <v>92</v>
      </c>
    </row>
    <row r="21" spans="1:27">
      <c r="A21" s="94">
        <v>202001</v>
      </c>
      <c r="B21" s="42">
        <v>-0.11</v>
      </c>
      <c r="C21" s="42">
        <v>-3.11</v>
      </c>
      <c r="D21" s="42">
        <v>-6.25</v>
      </c>
      <c r="E21" s="67">
        <v>0.13</v>
      </c>
      <c r="F21" s="43"/>
      <c r="G21" s="70">
        <f t="shared" si="4"/>
        <v>-1.1000000000000001E-3</v>
      </c>
      <c r="H21" s="43">
        <f t="shared" si="4"/>
        <v>-3.1099999999999999E-2</v>
      </c>
      <c r="I21" s="43">
        <f t="shared" si="4"/>
        <v>-6.25E-2</v>
      </c>
      <c r="J21" s="71">
        <f t="shared" si="4"/>
        <v>1.3000000000000002E-3</v>
      </c>
      <c r="L21" s="76">
        <f>SUMPRODUCT('Q1'!$G$117:$L$117,'Q1'!H23:M23)</f>
        <v>2.2850172675358511E-2</v>
      </c>
      <c r="N21">
        <f t="shared" si="1"/>
        <v>2.1550172675358512E-2</v>
      </c>
      <c r="O21">
        <f t="shared" si="2"/>
        <v>-1.1000000000000001E-3</v>
      </c>
      <c r="P21">
        <f t="shared" si="3"/>
        <v>2.0000000000000009E-4</v>
      </c>
      <c r="R21"/>
      <c r="S21"/>
      <c r="T21"/>
      <c r="U21"/>
      <c r="V21"/>
      <c r="W21"/>
      <c r="X21"/>
      <c r="Y21"/>
      <c r="Z21"/>
    </row>
    <row r="22" spans="1:27">
      <c r="A22" s="94">
        <v>202002</v>
      </c>
      <c r="B22" s="42">
        <v>-8.1300000000000008</v>
      </c>
      <c r="C22" s="42">
        <v>1.07</v>
      </c>
      <c r="D22" s="42">
        <v>-3.81</v>
      </c>
      <c r="E22" s="67">
        <v>0.12</v>
      </c>
      <c r="F22" s="43"/>
      <c r="G22" s="70">
        <f t="shared" si="4"/>
        <v>-8.1300000000000011E-2</v>
      </c>
      <c r="H22" s="43">
        <f t="shared" si="4"/>
        <v>1.0700000000000001E-2</v>
      </c>
      <c r="I22" s="43">
        <f t="shared" si="4"/>
        <v>-3.8100000000000002E-2</v>
      </c>
      <c r="J22" s="71">
        <f t="shared" si="4"/>
        <v>1.1999999999999999E-3</v>
      </c>
      <c r="L22" s="76">
        <f>SUMPRODUCT('Q1'!$G$117:$L$117,'Q1'!H24:M24)</f>
        <v>-9.123788228863787E-2</v>
      </c>
      <c r="N22">
        <f t="shared" si="1"/>
        <v>-9.2437882288637876E-2</v>
      </c>
      <c r="O22">
        <f t="shared" si="2"/>
        <v>-8.1300000000000011E-2</v>
      </c>
      <c r="P22">
        <f t="shared" si="3"/>
        <v>-8.0100000000000005E-2</v>
      </c>
      <c r="R22"/>
      <c r="S22"/>
      <c r="T22"/>
      <c r="U22"/>
      <c r="V22"/>
      <c r="W22"/>
      <c r="X22"/>
      <c r="Y22"/>
      <c r="Z22"/>
    </row>
    <row r="23" spans="1:27">
      <c r="A23" s="94">
        <v>202003</v>
      </c>
      <c r="B23" s="42">
        <v>-13.39</v>
      </c>
      <c r="C23" s="42">
        <v>-4.83</v>
      </c>
      <c r="D23" s="42">
        <v>-13.87</v>
      </c>
      <c r="E23" s="67">
        <v>0.13</v>
      </c>
      <c r="F23" s="43"/>
      <c r="G23" s="70">
        <f t="shared" si="4"/>
        <v>-0.13390000000000002</v>
      </c>
      <c r="H23" s="43">
        <f t="shared" si="4"/>
        <v>-4.8300000000000003E-2</v>
      </c>
      <c r="I23" s="43">
        <f t="shared" si="4"/>
        <v>-0.13869999999999999</v>
      </c>
      <c r="J23" s="71">
        <f t="shared" si="4"/>
        <v>1.3000000000000002E-3</v>
      </c>
      <c r="L23" s="76">
        <f>SUMPRODUCT('Q1'!$G$117:$L$117,'Q1'!H25:M25)</f>
        <v>-4.1175490927220726E-2</v>
      </c>
      <c r="N23">
        <f t="shared" si="1"/>
        <v>-4.2475490927220728E-2</v>
      </c>
      <c r="O23">
        <f t="shared" si="2"/>
        <v>-0.13390000000000002</v>
      </c>
      <c r="P23">
        <f t="shared" si="3"/>
        <v>-0.13260000000000002</v>
      </c>
      <c r="R23"/>
      <c r="S23"/>
      <c r="T23"/>
      <c r="U23"/>
      <c r="V23"/>
      <c r="W23"/>
      <c r="X23"/>
      <c r="Y23"/>
      <c r="Z23"/>
    </row>
    <row r="24" spans="1:27">
      <c r="A24" s="94">
        <v>202004</v>
      </c>
      <c r="B24" s="42">
        <v>13.65</v>
      </c>
      <c r="C24" s="42">
        <v>2.4500000000000002</v>
      </c>
      <c r="D24" s="42">
        <v>-1.33</v>
      </c>
      <c r="E24" s="67">
        <v>0</v>
      </c>
      <c r="F24" s="43"/>
      <c r="G24" s="70">
        <f t="shared" si="4"/>
        <v>0.13650000000000001</v>
      </c>
      <c r="H24" s="43">
        <f t="shared" si="4"/>
        <v>2.4500000000000001E-2</v>
      </c>
      <c r="I24" s="43">
        <f t="shared" si="4"/>
        <v>-1.3300000000000001E-2</v>
      </c>
      <c r="J24" s="71">
        <f t="shared" si="4"/>
        <v>0</v>
      </c>
      <c r="L24" s="76">
        <f>SUMPRODUCT('Q1'!$G$117:$L$117,'Q1'!H26:M26)</f>
        <v>0.10335273434431563</v>
      </c>
      <c r="N24">
        <f t="shared" si="1"/>
        <v>0.10335273434431563</v>
      </c>
      <c r="O24">
        <f t="shared" si="2"/>
        <v>0.13650000000000001</v>
      </c>
      <c r="P24">
        <f t="shared" si="3"/>
        <v>0.13650000000000001</v>
      </c>
      <c r="R24"/>
      <c r="S24"/>
      <c r="T24"/>
      <c r="U24"/>
      <c r="V24"/>
      <c r="W24"/>
      <c r="X24"/>
      <c r="Y24"/>
      <c r="Z24"/>
    </row>
    <row r="25" spans="1:27">
      <c r="A25" s="94">
        <v>202005</v>
      </c>
      <c r="B25" s="42">
        <v>5.58</v>
      </c>
      <c r="C25" s="42">
        <v>2.4700000000000002</v>
      </c>
      <c r="D25" s="42">
        <v>-4.88</v>
      </c>
      <c r="E25" s="67">
        <v>0.01</v>
      </c>
      <c r="F25" s="43"/>
      <c r="G25" s="70">
        <f t="shared" si="4"/>
        <v>5.5800000000000002E-2</v>
      </c>
      <c r="H25" s="43">
        <f t="shared" si="4"/>
        <v>2.4700000000000003E-2</v>
      </c>
      <c r="I25" s="43">
        <f t="shared" si="4"/>
        <v>-4.8800000000000003E-2</v>
      </c>
      <c r="J25" s="71">
        <f t="shared" si="4"/>
        <v>1E-4</v>
      </c>
      <c r="L25" s="76">
        <f>SUMPRODUCT('Q1'!$G$117:$L$117,'Q1'!H27:M27)</f>
        <v>2.7774983442722632E-2</v>
      </c>
      <c r="N25">
        <f t="shared" si="1"/>
        <v>2.7674983442722633E-2</v>
      </c>
      <c r="O25">
        <f t="shared" si="2"/>
        <v>5.5800000000000002E-2</v>
      </c>
      <c r="P25">
        <f t="shared" si="3"/>
        <v>5.5900000000000005E-2</v>
      </c>
      <c r="U25"/>
      <c r="V25"/>
      <c r="W25"/>
      <c r="X25"/>
      <c r="Y25"/>
      <c r="Z25"/>
    </row>
    <row r="26" spans="1:27">
      <c r="A26" s="94">
        <v>202006</v>
      </c>
      <c r="B26" s="42">
        <v>2.46</v>
      </c>
      <c r="C26" s="42">
        <v>2.69</v>
      </c>
      <c r="D26" s="42">
        <v>-2.2000000000000002</v>
      </c>
      <c r="E26" s="67">
        <v>0.01</v>
      </c>
      <c r="F26" s="43"/>
      <c r="G26" s="70">
        <f t="shared" si="4"/>
        <v>2.46E-2</v>
      </c>
      <c r="H26" s="43">
        <f t="shared" si="4"/>
        <v>2.69E-2</v>
      </c>
      <c r="I26" s="43">
        <f t="shared" si="4"/>
        <v>-2.2000000000000002E-2</v>
      </c>
      <c r="J26" s="71">
        <f t="shared" si="4"/>
        <v>1E-4</v>
      </c>
      <c r="L26" s="76">
        <f>SUMPRODUCT('Q1'!$G$117:$L$117,'Q1'!H28:M28)</f>
        <v>7.6189045083867063E-2</v>
      </c>
      <c r="N26">
        <f t="shared" si="1"/>
        <v>7.608904508386706E-2</v>
      </c>
      <c r="O26">
        <f t="shared" si="2"/>
        <v>2.46E-2</v>
      </c>
      <c r="P26">
        <f t="shared" si="3"/>
        <v>2.47E-2</v>
      </c>
      <c r="U26"/>
      <c r="V26"/>
      <c r="W26"/>
      <c r="X26"/>
      <c r="Y26"/>
      <c r="Z26"/>
    </row>
    <row r="27" spans="1:27">
      <c r="A27" s="94">
        <v>202007</v>
      </c>
      <c r="B27" s="42">
        <v>5.77</v>
      </c>
      <c r="C27" s="42">
        <v>-2.33</v>
      </c>
      <c r="D27" s="42">
        <v>-1.41</v>
      </c>
      <c r="E27" s="67">
        <v>0.01</v>
      </c>
      <c r="F27" s="43"/>
      <c r="G27" s="70">
        <f t="shared" si="4"/>
        <v>5.7699999999999994E-2</v>
      </c>
      <c r="H27" s="43">
        <f t="shared" si="4"/>
        <v>-2.3300000000000001E-2</v>
      </c>
      <c r="I27" s="43">
        <f t="shared" si="4"/>
        <v>-1.41E-2</v>
      </c>
      <c r="J27" s="71">
        <f t="shared" si="4"/>
        <v>1E-4</v>
      </c>
      <c r="L27" s="76">
        <f>SUMPRODUCT('Q1'!$G$117:$L$117,'Q1'!H29:M29)</f>
        <v>0.12344174864975102</v>
      </c>
      <c r="N27">
        <f t="shared" si="1"/>
        <v>0.12334174864975102</v>
      </c>
      <c r="O27">
        <f t="shared" si="2"/>
        <v>5.7699999999999994E-2</v>
      </c>
      <c r="P27">
        <f t="shared" si="3"/>
        <v>5.7799999999999997E-2</v>
      </c>
      <c r="U27"/>
      <c r="V27"/>
      <c r="W27"/>
      <c r="X27"/>
      <c r="Y27"/>
      <c r="Z27"/>
    </row>
    <row r="28" spans="1:27">
      <c r="A28" s="94">
        <v>202008</v>
      </c>
      <c r="B28" s="42">
        <v>7.63</v>
      </c>
      <c r="C28" s="42">
        <v>-0.22</v>
      </c>
      <c r="D28" s="42">
        <v>-2.97</v>
      </c>
      <c r="E28" s="67">
        <v>0.01</v>
      </c>
      <c r="F28" s="43"/>
      <c r="G28" s="70">
        <f t="shared" si="4"/>
        <v>7.6300000000000007E-2</v>
      </c>
      <c r="H28" s="43">
        <f t="shared" si="4"/>
        <v>-2.2000000000000001E-3</v>
      </c>
      <c r="I28" s="43">
        <f t="shared" si="4"/>
        <v>-2.9700000000000004E-2</v>
      </c>
      <c r="J28" s="71">
        <f t="shared" si="4"/>
        <v>1E-4</v>
      </c>
      <c r="L28" s="76">
        <f>SUMPRODUCT('Q1'!$G$117:$L$117,'Q1'!H30:M30)</f>
        <v>0.11421452904499957</v>
      </c>
      <c r="N28">
        <f t="shared" si="1"/>
        <v>0.11411452904499957</v>
      </c>
      <c r="O28">
        <f t="shared" si="2"/>
        <v>7.6300000000000007E-2</v>
      </c>
      <c r="P28">
        <f t="shared" si="3"/>
        <v>7.640000000000001E-2</v>
      </c>
      <c r="U28"/>
      <c r="V28"/>
      <c r="W28"/>
      <c r="X28"/>
      <c r="Y28"/>
      <c r="Z28"/>
    </row>
    <row r="29" spans="1:27">
      <c r="A29" s="94">
        <v>202009</v>
      </c>
      <c r="B29" s="42">
        <v>-3.63</v>
      </c>
      <c r="C29" s="42">
        <v>0.02</v>
      </c>
      <c r="D29" s="42">
        <v>-2.71</v>
      </c>
      <c r="E29" s="67">
        <v>0.01</v>
      </c>
      <c r="F29" s="43"/>
      <c r="G29" s="70">
        <f t="shared" si="4"/>
        <v>-3.6299999999999999E-2</v>
      </c>
      <c r="H29" s="43">
        <f t="shared" si="4"/>
        <v>2.0000000000000001E-4</v>
      </c>
      <c r="I29" s="43">
        <f t="shared" si="4"/>
        <v>-2.7099999999999999E-2</v>
      </c>
      <c r="J29" s="71">
        <f t="shared" si="4"/>
        <v>1E-4</v>
      </c>
      <c r="L29" s="76">
        <f>SUMPRODUCT('Q1'!$G$117:$L$117,'Q1'!H31:M31)</f>
        <v>-3.8964010519707361E-2</v>
      </c>
      <c r="N29">
        <f t="shared" si="1"/>
        <v>-3.9064010519707364E-2</v>
      </c>
      <c r="O29">
        <f t="shared" si="2"/>
        <v>-3.6299999999999999E-2</v>
      </c>
      <c r="P29">
        <f t="shared" si="3"/>
        <v>-3.6199999999999996E-2</v>
      </c>
      <c r="U29"/>
      <c r="V29"/>
      <c r="W29"/>
      <c r="X29"/>
      <c r="Y29"/>
      <c r="Z29"/>
    </row>
    <row r="30" spans="1:27">
      <c r="A30" s="94">
        <v>202010</v>
      </c>
      <c r="B30" s="42">
        <v>-2.1</v>
      </c>
      <c r="C30" s="42">
        <v>4.38</v>
      </c>
      <c r="D30" s="42">
        <v>4.25</v>
      </c>
      <c r="E30" s="67">
        <v>0.01</v>
      </c>
      <c r="F30" s="43"/>
      <c r="G30" s="70">
        <f t="shared" si="4"/>
        <v>-2.1000000000000001E-2</v>
      </c>
      <c r="H30" s="43">
        <f t="shared" si="4"/>
        <v>4.3799999999999999E-2</v>
      </c>
      <c r="I30" s="43">
        <f t="shared" si="4"/>
        <v>4.2500000000000003E-2</v>
      </c>
      <c r="J30" s="71">
        <f t="shared" si="4"/>
        <v>1E-4</v>
      </c>
      <c r="L30" s="76">
        <f>SUMPRODUCT('Q1'!$G$117:$L$117,'Q1'!H32:M32)</f>
        <v>-3.0484689051491098E-2</v>
      </c>
      <c r="N30">
        <f t="shared" si="1"/>
        <v>-3.0584689051491098E-2</v>
      </c>
      <c r="O30">
        <f t="shared" si="2"/>
        <v>-2.1000000000000001E-2</v>
      </c>
      <c r="P30">
        <f t="shared" si="3"/>
        <v>-2.0900000000000002E-2</v>
      </c>
      <c r="U30"/>
      <c r="V30"/>
      <c r="W30"/>
      <c r="X30"/>
      <c r="Y30"/>
      <c r="Z30"/>
    </row>
    <row r="31" spans="1:27">
      <c r="A31" s="94">
        <v>202011</v>
      </c>
      <c r="B31" s="42">
        <v>12.47</v>
      </c>
      <c r="C31" s="42">
        <v>5.8</v>
      </c>
      <c r="D31" s="42">
        <v>2.09</v>
      </c>
      <c r="E31" s="67">
        <v>0.01</v>
      </c>
      <c r="F31" s="43"/>
      <c r="G31" s="70">
        <f t="shared" si="4"/>
        <v>0.12470000000000001</v>
      </c>
      <c r="H31" s="43">
        <f t="shared" si="4"/>
        <v>5.7999999999999996E-2</v>
      </c>
      <c r="I31" s="43">
        <f t="shared" si="4"/>
        <v>2.0899999999999998E-2</v>
      </c>
      <c r="J31" s="71">
        <f t="shared" si="4"/>
        <v>1E-4</v>
      </c>
      <c r="L31" s="76">
        <f>SUMPRODUCT('Q1'!$G$117:$L$117,'Q1'!H33:M33)</f>
        <v>4.1091892467621349E-2</v>
      </c>
      <c r="N31">
        <f t="shared" si="1"/>
        <v>4.0991892467621346E-2</v>
      </c>
      <c r="O31">
        <f t="shared" si="2"/>
        <v>0.12470000000000001</v>
      </c>
      <c r="P31">
        <f t="shared" si="3"/>
        <v>0.12480000000000001</v>
      </c>
      <c r="U31"/>
      <c r="V31"/>
      <c r="W31"/>
      <c r="X31"/>
      <c r="Y31"/>
      <c r="Z31"/>
    </row>
    <row r="32" spans="1:27">
      <c r="A32" s="94">
        <v>202012</v>
      </c>
      <c r="B32" s="42">
        <v>4.63</v>
      </c>
      <c r="C32" s="42">
        <v>4.8899999999999997</v>
      </c>
      <c r="D32" s="42">
        <v>-1.51</v>
      </c>
      <c r="E32" s="67">
        <v>0.01</v>
      </c>
      <c r="F32" s="43"/>
      <c r="G32" s="70">
        <f t="shared" si="4"/>
        <v>4.6300000000000001E-2</v>
      </c>
      <c r="H32" s="43">
        <f t="shared" si="4"/>
        <v>4.8899999999999999E-2</v>
      </c>
      <c r="I32" s="43">
        <f t="shared" si="4"/>
        <v>-1.5100000000000001E-2</v>
      </c>
      <c r="J32" s="71">
        <f t="shared" si="4"/>
        <v>1E-4</v>
      </c>
      <c r="L32" s="76">
        <f>SUMPRODUCT('Q1'!$G$117:$L$117,'Q1'!H34:M34)</f>
        <v>5.0786190172921734E-2</v>
      </c>
      <c r="N32">
        <f t="shared" si="1"/>
        <v>5.0686190172921732E-2</v>
      </c>
      <c r="O32">
        <f t="shared" si="2"/>
        <v>4.6300000000000001E-2</v>
      </c>
      <c r="P32">
        <f t="shared" si="3"/>
        <v>4.6400000000000004E-2</v>
      </c>
      <c r="U32"/>
      <c r="V32"/>
      <c r="W32"/>
      <c r="X32"/>
      <c r="Y32"/>
      <c r="Z32"/>
    </row>
    <row r="33" spans="1:33">
      <c r="A33" s="94">
        <v>202101</v>
      </c>
      <c r="B33" s="42">
        <v>-0.03</v>
      </c>
      <c r="C33" s="42">
        <v>7.36</v>
      </c>
      <c r="D33" s="42">
        <v>3.01</v>
      </c>
      <c r="E33" s="67">
        <v>0.01</v>
      </c>
      <c r="F33" s="43"/>
      <c r="G33" s="70">
        <f t="shared" si="4"/>
        <v>-2.9999999999999997E-4</v>
      </c>
      <c r="H33" s="43">
        <f t="shared" si="4"/>
        <v>7.3599999999999999E-2</v>
      </c>
      <c r="I33" s="43">
        <f t="shared" si="4"/>
        <v>3.0099999999999998E-2</v>
      </c>
      <c r="J33" s="71">
        <f t="shared" si="4"/>
        <v>1E-4</v>
      </c>
      <c r="L33" s="76">
        <f>SUMPRODUCT('Q1'!$G$117:$L$117,'Q1'!H35:M35)</f>
        <v>-4.7178724118632838E-2</v>
      </c>
      <c r="N33">
        <f t="shared" si="1"/>
        <v>-4.7278724118632841E-2</v>
      </c>
      <c r="O33">
        <f t="shared" si="2"/>
        <v>-2.9999999999999997E-4</v>
      </c>
      <c r="P33">
        <f t="shared" si="3"/>
        <v>-1.9999999999999998E-4</v>
      </c>
      <c r="U33"/>
      <c r="V33"/>
      <c r="W33"/>
      <c r="X33"/>
      <c r="Y33"/>
      <c r="Z33"/>
    </row>
    <row r="34" spans="1:33">
      <c r="A34" s="94">
        <v>202102</v>
      </c>
      <c r="B34" s="42">
        <v>2.78</v>
      </c>
      <c r="C34" s="42">
        <v>2.0499999999999998</v>
      </c>
      <c r="D34" s="42">
        <v>7.15</v>
      </c>
      <c r="E34" s="67">
        <v>0</v>
      </c>
      <c r="F34" s="43"/>
      <c r="G34" s="70">
        <f t="shared" si="4"/>
        <v>2.7799999999999998E-2</v>
      </c>
      <c r="H34" s="43">
        <f t="shared" si="4"/>
        <v>2.0499999999999997E-2</v>
      </c>
      <c r="I34" s="43">
        <f t="shared" si="4"/>
        <v>7.1500000000000008E-2</v>
      </c>
      <c r="J34" s="71">
        <f t="shared" si="4"/>
        <v>0</v>
      </c>
      <c r="L34" s="76">
        <f>SUMPRODUCT('Q1'!$G$117:$L$117,'Q1'!H36:M36)</f>
        <v>-5.2329088576657884E-2</v>
      </c>
      <c r="N34">
        <f t="shared" ref="N34:N61" si="5">L34-J34</f>
        <v>-5.2329088576657884E-2</v>
      </c>
      <c r="O34">
        <f t="shared" ref="O34:O61" si="6">G34</f>
        <v>2.7799999999999998E-2</v>
      </c>
      <c r="P34">
        <f t="shared" si="3"/>
        <v>2.7799999999999998E-2</v>
      </c>
      <c r="U34"/>
      <c r="V34"/>
      <c r="W34"/>
      <c r="X34"/>
      <c r="Y34"/>
      <c r="Z34"/>
    </row>
    <row r="35" spans="1:33">
      <c r="A35" s="94">
        <v>202103</v>
      </c>
      <c r="B35" s="42">
        <v>3.08</v>
      </c>
      <c r="C35" s="42">
        <v>-2.37</v>
      </c>
      <c r="D35" s="42">
        <v>7.39</v>
      </c>
      <c r="E35" s="67">
        <v>0</v>
      </c>
      <c r="F35" s="43"/>
      <c r="G35" s="70">
        <f t="shared" si="4"/>
        <v>3.0800000000000001E-2</v>
      </c>
      <c r="H35" s="43">
        <f t="shared" si="4"/>
        <v>-2.3700000000000002E-2</v>
      </c>
      <c r="I35" s="43">
        <f t="shared" si="4"/>
        <v>7.3899999999999993E-2</v>
      </c>
      <c r="J35" s="71">
        <f t="shared" si="4"/>
        <v>0</v>
      </c>
      <c r="L35" s="76">
        <f>SUMPRODUCT('Q1'!$G$117:$L$117,'Q1'!H37:M37)</f>
        <v>5.4544349702763409E-2</v>
      </c>
      <c r="N35">
        <f t="shared" si="5"/>
        <v>5.4544349702763409E-2</v>
      </c>
      <c r="O35">
        <f t="shared" si="6"/>
        <v>3.0800000000000001E-2</v>
      </c>
      <c r="P35">
        <f t="shared" si="3"/>
        <v>3.0800000000000001E-2</v>
      </c>
      <c r="U35"/>
      <c r="V35"/>
      <c r="W35"/>
      <c r="X35"/>
      <c r="Y35"/>
      <c r="Z35"/>
    </row>
    <row r="36" spans="1:33">
      <c r="A36" s="94">
        <v>202104</v>
      </c>
      <c r="B36" s="42">
        <v>4.93</v>
      </c>
      <c r="C36" s="42">
        <v>-3.19</v>
      </c>
      <c r="D36" s="42">
        <v>-0.95</v>
      </c>
      <c r="E36" s="67">
        <v>0</v>
      </c>
      <c r="F36" s="43"/>
      <c r="G36" s="70">
        <f t="shared" si="4"/>
        <v>4.9299999999999997E-2</v>
      </c>
      <c r="H36" s="43">
        <f t="shared" si="4"/>
        <v>-3.1899999999999998E-2</v>
      </c>
      <c r="I36" s="43">
        <f t="shared" si="4"/>
        <v>-9.4999999999999998E-3</v>
      </c>
      <c r="J36" s="71">
        <f t="shared" si="4"/>
        <v>0</v>
      </c>
      <c r="L36" s="76">
        <f>SUMPRODUCT('Q1'!$G$117:$L$117,'Q1'!H38:M38)</f>
        <v>2.3682793483317682E-2</v>
      </c>
      <c r="N36">
        <f t="shared" si="5"/>
        <v>2.3682793483317682E-2</v>
      </c>
      <c r="O36">
        <f t="shared" si="6"/>
        <v>4.9299999999999997E-2</v>
      </c>
      <c r="P36">
        <f t="shared" si="3"/>
        <v>4.9299999999999997E-2</v>
      </c>
      <c r="U36"/>
      <c r="V36"/>
      <c r="W36"/>
      <c r="X36"/>
      <c r="Y36"/>
      <c r="Z36"/>
    </row>
    <row r="37" spans="1:33">
      <c r="A37" s="94">
        <v>202105</v>
      </c>
      <c r="B37" s="42">
        <v>0.28999999999999998</v>
      </c>
      <c r="C37" s="42">
        <v>-0.25</v>
      </c>
      <c r="D37" s="42">
        <v>7.09</v>
      </c>
      <c r="E37" s="67">
        <v>0</v>
      </c>
      <c r="F37" s="43"/>
      <c r="G37" s="70">
        <f t="shared" si="4"/>
        <v>2.8999999999999998E-3</v>
      </c>
      <c r="H37" s="43">
        <f t="shared" si="4"/>
        <v>-2.5000000000000001E-3</v>
      </c>
      <c r="I37" s="43">
        <f t="shared" si="4"/>
        <v>7.0900000000000005E-2</v>
      </c>
      <c r="J37" s="71">
        <f t="shared" si="4"/>
        <v>0</v>
      </c>
      <c r="L37" s="76">
        <f>SUMPRODUCT('Q1'!$G$117:$L$117,'Q1'!H39:M39)</f>
        <v>-4.2344284065292722E-3</v>
      </c>
      <c r="N37">
        <f t="shared" si="5"/>
        <v>-4.2344284065292722E-3</v>
      </c>
      <c r="O37">
        <f t="shared" si="6"/>
        <v>2.8999999999999998E-3</v>
      </c>
      <c r="P37">
        <f t="shared" si="3"/>
        <v>2.8999999999999998E-3</v>
      </c>
      <c r="U37"/>
      <c r="V37"/>
      <c r="W37"/>
      <c r="X37"/>
      <c r="Y37"/>
      <c r="Z37"/>
    </row>
    <row r="38" spans="1:33">
      <c r="A38" s="94">
        <v>202106</v>
      </c>
      <c r="B38" s="42">
        <v>2.75</v>
      </c>
      <c r="C38" s="42">
        <v>1.68</v>
      </c>
      <c r="D38" s="42">
        <v>-7.87</v>
      </c>
      <c r="E38" s="67">
        <v>0</v>
      </c>
      <c r="F38" s="43"/>
      <c r="G38" s="70">
        <f t="shared" si="4"/>
        <v>2.75E-2</v>
      </c>
      <c r="H38" s="43">
        <f t="shared" si="4"/>
        <v>1.6799999999999999E-2</v>
      </c>
      <c r="I38" s="43">
        <f t="shared" si="4"/>
        <v>-7.8700000000000006E-2</v>
      </c>
      <c r="J38" s="71">
        <f t="shared" si="4"/>
        <v>0</v>
      </c>
      <c r="L38" s="76">
        <f>SUMPRODUCT('Q1'!$G$117:$L$117,'Q1'!H40:M40)</f>
        <v>3.2772803916683177E-2</v>
      </c>
      <c r="N38">
        <f t="shared" si="5"/>
        <v>3.2772803916683177E-2</v>
      </c>
      <c r="O38">
        <f t="shared" si="6"/>
        <v>2.75E-2</v>
      </c>
      <c r="P38">
        <f t="shared" si="3"/>
        <v>2.75E-2</v>
      </c>
      <c r="U38"/>
      <c r="V38"/>
      <c r="W38"/>
      <c r="X38"/>
      <c r="Y38"/>
      <c r="Z38"/>
    </row>
    <row r="39" spans="1:33">
      <c r="A39" s="94">
        <v>202107</v>
      </c>
      <c r="B39" s="42">
        <v>1.27</v>
      </c>
      <c r="C39" s="42">
        <v>-3.97</v>
      </c>
      <c r="D39" s="42">
        <v>-1.78</v>
      </c>
      <c r="E39" s="67">
        <v>0</v>
      </c>
      <c r="F39" s="43"/>
      <c r="G39" s="70">
        <f t="shared" si="4"/>
        <v>1.2700000000000001E-2</v>
      </c>
      <c r="H39" s="43">
        <f t="shared" si="4"/>
        <v>-3.9700000000000006E-2</v>
      </c>
      <c r="I39" s="43">
        <f t="shared" si="4"/>
        <v>-1.78E-2</v>
      </c>
      <c r="J39" s="71">
        <f t="shared" si="4"/>
        <v>0</v>
      </c>
      <c r="L39" s="76">
        <f>SUMPRODUCT('Q1'!$G$117:$L$117,'Q1'!H41:M41)</f>
        <v>5.5898739915860418E-2</v>
      </c>
      <c r="N39">
        <f t="shared" si="5"/>
        <v>5.5898739915860418E-2</v>
      </c>
      <c r="O39">
        <f t="shared" si="6"/>
        <v>1.2700000000000001E-2</v>
      </c>
      <c r="P39">
        <f t="shared" si="3"/>
        <v>1.2700000000000001E-2</v>
      </c>
      <c r="U39"/>
      <c r="V39"/>
      <c r="W39"/>
      <c r="X39"/>
      <c r="Y39"/>
      <c r="Z39"/>
    </row>
    <row r="40" spans="1:33">
      <c r="A40" s="94">
        <v>202108</v>
      </c>
      <c r="B40" s="42">
        <v>2.91</v>
      </c>
      <c r="C40" s="42">
        <v>-0.42</v>
      </c>
      <c r="D40" s="42">
        <v>-0.15</v>
      </c>
      <c r="E40" s="67">
        <v>0</v>
      </c>
      <c r="F40" s="43"/>
      <c r="G40" s="70">
        <f t="shared" si="4"/>
        <v>2.9100000000000001E-2</v>
      </c>
      <c r="H40" s="43">
        <f t="shared" si="4"/>
        <v>-4.1999999999999997E-3</v>
      </c>
      <c r="I40" s="43">
        <f t="shared" si="4"/>
        <v>-1.5E-3</v>
      </c>
      <c r="J40" s="71">
        <f t="shared" si="4"/>
        <v>0</v>
      </c>
      <c r="L40" s="76">
        <f>SUMPRODUCT('Q1'!$G$117:$L$117,'Q1'!H42:M42)</f>
        <v>1.9441816027370558E-2</v>
      </c>
      <c r="N40">
        <f t="shared" si="5"/>
        <v>1.9441816027370558E-2</v>
      </c>
      <c r="O40">
        <f t="shared" si="6"/>
        <v>2.9100000000000001E-2</v>
      </c>
      <c r="P40">
        <f t="shared" si="3"/>
        <v>2.9100000000000001E-2</v>
      </c>
      <c r="U40"/>
      <c r="V40"/>
      <c r="W40"/>
      <c r="X40"/>
      <c r="Y40"/>
      <c r="Z40"/>
    </row>
    <row r="41" spans="1:33">
      <c r="A41" s="94">
        <v>202109</v>
      </c>
      <c r="B41" s="42">
        <v>-4.37</v>
      </c>
      <c r="C41" s="42">
        <v>0.71</v>
      </c>
      <c r="D41" s="42">
        <v>5.08</v>
      </c>
      <c r="E41" s="67">
        <v>0</v>
      </c>
      <c r="F41" s="43"/>
      <c r="G41" s="70">
        <f t="shared" si="4"/>
        <v>-4.3700000000000003E-2</v>
      </c>
      <c r="H41" s="43">
        <f t="shared" si="4"/>
        <v>7.0999999999999995E-3</v>
      </c>
      <c r="I41" s="43">
        <f t="shared" si="4"/>
        <v>5.0800000000000005E-2</v>
      </c>
      <c r="J41" s="71">
        <f t="shared" si="4"/>
        <v>0</v>
      </c>
      <c r="L41" s="76">
        <f>SUMPRODUCT('Q1'!$G$117:$L$117,'Q1'!H43:M43)</f>
        <v>-3.7655525594537817E-2</v>
      </c>
      <c r="N41">
        <f t="shared" si="5"/>
        <v>-3.7655525594537817E-2</v>
      </c>
      <c r="O41">
        <f t="shared" si="6"/>
        <v>-4.3700000000000003E-2</v>
      </c>
      <c r="P41">
        <f t="shared" si="3"/>
        <v>-4.3700000000000003E-2</v>
      </c>
      <c r="U41"/>
      <c r="V41"/>
      <c r="W41"/>
      <c r="X41"/>
      <c r="Y41"/>
      <c r="Z41"/>
    </row>
    <row r="42" spans="1:33" ht="16.149999999999999" thickBot="1">
      <c r="A42" s="94">
        <v>202110</v>
      </c>
      <c r="B42" s="42">
        <v>6.65</v>
      </c>
      <c r="C42" s="42">
        <v>-2.35</v>
      </c>
      <c r="D42" s="42">
        <v>-0.49</v>
      </c>
      <c r="E42" s="67">
        <v>0</v>
      </c>
      <c r="F42" s="43"/>
      <c r="G42" s="70">
        <f t="shared" si="4"/>
        <v>6.6500000000000004E-2</v>
      </c>
      <c r="H42" s="43">
        <f t="shared" si="4"/>
        <v>-2.35E-2</v>
      </c>
      <c r="I42" s="43">
        <f t="shared" si="4"/>
        <v>-4.8999999999999998E-3</v>
      </c>
      <c r="J42" s="71">
        <f t="shared" si="4"/>
        <v>0</v>
      </c>
      <c r="L42" s="76">
        <f>SUMPRODUCT('Q1'!$G$117:$L$117,'Q1'!H44:M44)</f>
        <v>3.5733989750234327E-2</v>
      </c>
      <c r="N42">
        <f t="shared" si="5"/>
        <v>3.5733989750234327E-2</v>
      </c>
      <c r="O42">
        <f t="shared" si="6"/>
        <v>6.6500000000000004E-2</v>
      </c>
      <c r="P42">
        <f t="shared" si="3"/>
        <v>6.6500000000000004E-2</v>
      </c>
      <c r="U42"/>
      <c r="V42"/>
      <c r="W42"/>
      <c r="X42"/>
      <c r="Y42"/>
      <c r="Z42"/>
    </row>
    <row r="43" spans="1:33" ht="18.399999999999999" thickBot="1">
      <c r="A43" s="94">
        <v>202111</v>
      </c>
      <c r="B43" s="42">
        <v>-1.55</v>
      </c>
      <c r="C43" s="42">
        <v>-1.32</v>
      </c>
      <c r="D43" s="42">
        <v>-0.45</v>
      </c>
      <c r="E43" s="67">
        <v>0</v>
      </c>
      <c r="F43" s="43"/>
      <c r="G43" s="70">
        <f t="shared" si="4"/>
        <v>-1.5500000000000002E-2</v>
      </c>
      <c r="H43" s="43">
        <f t="shared" si="4"/>
        <v>-1.3200000000000002E-2</v>
      </c>
      <c r="I43" s="43">
        <f t="shared" si="4"/>
        <v>-4.5000000000000005E-3</v>
      </c>
      <c r="J43" s="71">
        <f t="shared" si="4"/>
        <v>0</v>
      </c>
      <c r="L43" s="76">
        <f>SUMPRODUCT('Q1'!$G$117:$L$117,'Q1'!H45:M45)</f>
        <v>4.8005958053493572E-2</v>
      </c>
      <c r="N43">
        <f t="shared" si="5"/>
        <v>4.8005958053493572E-2</v>
      </c>
      <c r="O43">
        <f t="shared" si="6"/>
        <v>-1.5500000000000002E-2</v>
      </c>
      <c r="P43">
        <f t="shared" si="3"/>
        <v>-1.5500000000000002E-2</v>
      </c>
      <c r="R43" s="98" t="s">
        <v>101</v>
      </c>
      <c r="S43" s="91" t="s">
        <v>136</v>
      </c>
      <c r="T43" s="91"/>
      <c r="U43" s="91"/>
      <c r="V43" s="91"/>
      <c r="W43"/>
      <c r="X43"/>
      <c r="Y43"/>
      <c r="Z43"/>
      <c r="AA43"/>
      <c r="AB43"/>
      <c r="AC43"/>
      <c r="AD43"/>
      <c r="AE43"/>
      <c r="AF43"/>
      <c r="AG43"/>
    </row>
    <row r="44" spans="1:33" ht="18">
      <c r="A44" s="94">
        <v>202112</v>
      </c>
      <c r="B44" s="42">
        <v>3.1</v>
      </c>
      <c r="C44" s="42">
        <v>-1.67</v>
      </c>
      <c r="D44" s="42">
        <v>3.26</v>
      </c>
      <c r="E44" s="67">
        <v>0.01</v>
      </c>
      <c r="F44" s="43"/>
      <c r="G44" s="70">
        <f t="shared" si="4"/>
        <v>3.1000000000000003E-2</v>
      </c>
      <c r="H44" s="43">
        <f t="shared" si="4"/>
        <v>-1.67E-2</v>
      </c>
      <c r="I44" s="43">
        <f t="shared" si="4"/>
        <v>3.2599999999999997E-2</v>
      </c>
      <c r="J44" s="71">
        <f t="shared" si="4"/>
        <v>1E-4</v>
      </c>
      <c r="L44" s="76">
        <f>SUMPRODUCT('Q1'!$G$117:$L$117,'Q1'!H46:M46)</f>
        <v>0.10243895738171394</v>
      </c>
      <c r="N44">
        <f t="shared" si="5"/>
        <v>0.10233895738171393</v>
      </c>
      <c r="O44">
        <f t="shared" si="6"/>
        <v>3.1000000000000003E-2</v>
      </c>
      <c r="P44">
        <f t="shared" si="3"/>
        <v>3.1100000000000003E-2</v>
      </c>
      <c r="R44" s="98" t="s">
        <v>108</v>
      </c>
      <c r="S44" s="91" t="s">
        <v>137</v>
      </c>
      <c r="T44" s="91"/>
      <c r="U44" s="91"/>
      <c r="V44" s="91"/>
      <c r="W44"/>
      <c r="X44"/>
      <c r="Y44"/>
      <c r="Z44"/>
      <c r="AA44"/>
      <c r="AB44"/>
      <c r="AC44"/>
      <c r="AD44"/>
      <c r="AE44"/>
      <c r="AF44"/>
      <c r="AG44"/>
    </row>
    <row r="45" spans="1:33">
      <c r="A45" s="94">
        <v>202201</v>
      </c>
      <c r="B45" s="42">
        <v>-6.25</v>
      </c>
      <c r="C45" s="42">
        <v>-5.94</v>
      </c>
      <c r="D45" s="42">
        <v>12.75</v>
      </c>
      <c r="E45" s="67">
        <v>0</v>
      </c>
      <c r="F45" s="43"/>
      <c r="G45" s="70">
        <f t="shared" si="4"/>
        <v>-6.25E-2</v>
      </c>
      <c r="H45" s="43">
        <f t="shared" si="4"/>
        <v>-5.9400000000000008E-2</v>
      </c>
      <c r="I45" s="43">
        <f t="shared" si="4"/>
        <v>0.1275</v>
      </c>
      <c r="J45" s="71">
        <f t="shared" si="4"/>
        <v>0</v>
      </c>
      <c r="L45" s="76">
        <f>SUMPRODUCT('Q1'!$G$117:$L$117,'Q1'!H47:M47)</f>
        <v>-1.7650342199199327E-2</v>
      </c>
      <c r="N45">
        <f t="shared" si="5"/>
        <v>-1.7650342199199327E-2</v>
      </c>
      <c r="O45">
        <f t="shared" si="6"/>
        <v>-6.25E-2</v>
      </c>
      <c r="P45">
        <f t="shared" si="3"/>
        <v>-6.25E-2</v>
      </c>
      <c r="S45" t="s">
        <v>75</v>
      </c>
      <c r="T45"/>
      <c r="U45"/>
      <c r="V45" s="59" t="s">
        <v>76</v>
      </c>
      <c r="W45" s="60">
        <f>T61*12</f>
        <v>0.11165279857737215</v>
      </c>
      <c r="X45"/>
      <c r="Y45"/>
      <c r="Z45"/>
      <c r="AA45"/>
      <c r="AB45"/>
      <c r="AC45"/>
      <c r="AD45"/>
      <c r="AE45"/>
      <c r="AF45"/>
      <c r="AG45"/>
    </row>
    <row r="46" spans="1:33" ht="16.149999999999999" thickBot="1">
      <c r="A46" s="94">
        <v>202202</v>
      </c>
      <c r="B46" s="42">
        <v>-2.29</v>
      </c>
      <c r="C46" s="42">
        <v>2.19</v>
      </c>
      <c r="D46" s="42">
        <v>3.08</v>
      </c>
      <c r="E46" s="67">
        <v>0</v>
      </c>
      <c r="F46" s="43"/>
      <c r="G46" s="70">
        <f t="shared" si="4"/>
        <v>-2.29E-2</v>
      </c>
      <c r="H46" s="43">
        <f t="shared" si="4"/>
        <v>2.1899999999999999E-2</v>
      </c>
      <c r="I46" s="43">
        <f t="shared" si="4"/>
        <v>3.0800000000000001E-2</v>
      </c>
      <c r="J46" s="71">
        <f t="shared" si="4"/>
        <v>0</v>
      </c>
      <c r="L46" s="76">
        <f>SUMPRODUCT('Q1'!$G$117:$L$117,'Q1'!H48:M48)</f>
        <v>-2.8520338174844048E-2</v>
      </c>
      <c r="N46">
        <f t="shared" si="5"/>
        <v>-2.8520338174844048E-2</v>
      </c>
      <c r="O46">
        <f t="shared" si="6"/>
        <v>-2.29E-2</v>
      </c>
      <c r="P46">
        <f t="shared" si="3"/>
        <v>-2.29E-2</v>
      </c>
      <c r="S46"/>
      <c r="T46"/>
      <c r="U46"/>
      <c r="V46" s="59" t="s">
        <v>105</v>
      </c>
      <c r="W46" s="60">
        <f t="shared" ref="W46:W47" si="7">T62*12</f>
        <v>9.3407257991447139</v>
      </c>
      <c r="X46"/>
      <c r="Y46"/>
      <c r="Z46"/>
      <c r="AA46"/>
      <c r="AB46"/>
      <c r="AC46"/>
      <c r="AD46"/>
      <c r="AE46"/>
      <c r="AF46"/>
      <c r="AG46"/>
    </row>
    <row r="47" spans="1:33">
      <c r="A47" s="94">
        <v>202203</v>
      </c>
      <c r="B47" s="42">
        <v>3.05</v>
      </c>
      <c r="C47" s="42">
        <v>-1.61</v>
      </c>
      <c r="D47" s="42">
        <v>-1.81</v>
      </c>
      <c r="E47" s="67">
        <v>0.01</v>
      </c>
      <c r="F47" s="43"/>
      <c r="G47" s="70">
        <f t="shared" si="4"/>
        <v>3.0499999999999999E-2</v>
      </c>
      <c r="H47" s="43">
        <f t="shared" si="4"/>
        <v>-1.61E-2</v>
      </c>
      <c r="I47" s="43">
        <f t="shared" si="4"/>
        <v>-1.8100000000000002E-2</v>
      </c>
      <c r="J47" s="71">
        <f t="shared" si="4"/>
        <v>1E-4</v>
      </c>
      <c r="L47" s="76">
        <f>SUMPRODUCT('Q1'!$G$117:$L$117,'Q1'!H49:M49)</f>
        <v>1.2559515328993437E-2</v>
      </c>
      <c r="N47">
        <f t="shared" si="5"/>
        <v>1.2459515328993438E-2</v>
      </c>
      <c r="O47">
        <f t="shared" si="6"/>
        <v>3.0499999999999999E-2</v>
      </c>
      <c r="P47">
        <f t="shared" si="3"/>
        <v>3.0599999999999999E-2</v>
      </c>
      <c r="S47" s="56" t="s">
        <v>102</v>
      </c>
      <c r="T47" s="56"/>
      <c r="U47"/>
      <c r="V47" s="59" t="s">
        <v>106</v>
      </c>
      <c r="W47" s="60">
        <f t="shared" si="7"/>
        <v>-8.3700237325704201</v>
      </c>
      <c r="X47"/>
      <c r="Y47"/>
      <c r="Z47"/>
      <c r="AA47"/>
      <c r="AB47"/>
      <c r="AC47"/>
      <c r="AD47"/>
      <c r="AE47"/>
      <c r="AF47"/>
      <c r="AG47"/>
    </row>
    <row r="48" spans="1:33">
      <c r="A48" s="94">
        <v>202204</v>
      </c>
      <c r="B48" s="42">
        <v>-9.4600000000000009</v>
      </c>
      <c r="C48" s="42">
        <v>-1.39</v>
      </c>
      <c r="D48" s="42">
        <v>6.17</v>
      </c>
      <c r="E48" s="67">
        <v>0.01</v>
      </c>
      <c r="F48" s="43"/>
      <c r="G48" s="70">
        <f t="shared" si="4"/>
        <v>-9.4600000000000017E-2</v>
      </c>
      <c r="H48" s="43">
        <f t="shared" si="4"/>
        <v>-1.3899999999999999E-2</v>
      </c>
      <c r="I48" s="43">
        <f t="shared" si="4"/>
        <v>6.1699999999999998E-2</v>
      </c>
      <c r="J48" s="71">
        <f t="shared" si="4"/>
        <v>1E-4</v>
      </c>
      <c r="L48" s="76">
        <f>SUMPRODUCT('Q1'!$G$117:$L$117,'Q1'!H50:M50)</f>
        <v>-1.0982457883340933E-2</v>
      </c>
      <c r="N48">
        <f t="shared" si="5"/>
        <v>-1.1082457883340932E-2</v>
      </c>
      <c r="O48">
        <f t="shared" si="6"/>
        <v>-9.4600000000000017E-2</v>
      </c>
      <c r="P48">
        <f t="shared" si="3"/>
        <v>-9.4500000000000015E-2</v>
      </c>
      <c r="S48" s="53" t="s">
        <v>78</v>
      </c>
      <c r="T48" s="53">
        <v>0.80131367775313112</v>
      </c>
      <c r="U48"/>
      <c r="V48" s="59" t="s">
        <v>107</v>
      </c>
      <c r="W48" s="60">
        <f>0</f>
        <v>0</v>
      </c>
      <c r="X48" s="101" t="s">
        <v>104</v>
      </c>
      <c r="Y48"/>
      <c r="Z48"/>
      <c r="AA48"/>
      <c r="AB48"/>
      <c r="AC48"/>
      <c r="AD48"/>
      <c r="AE48"/>
      <c r="AF48"/>
      <c r="AG48"/>
    </row>
    <row r="49" spans="1:33">
      <c r="A49" s="94">
        <v>202205</v>
      </c>
      <c r="B49" s="42">
        <v>-0.34</v>
      </c>
      <c r="C49" s="42">
        <v>-1.83</v>
      </c>
      <c r="D49" s="42">
        <v>8.39</v>
      </c>
      <c r="E49" s="67">
        <v>0.03</v>
      </c>
      <c r="F49" s="43"/>
      <c r="G49" s="70">
        <f t="shared" si="4"/>
        <v>-3.4000000000000002E-3</v>
      </c>
      <c r="H49" s="43">
        <f t="shared" si="4"/>
        <v>-1.83E-2</v>
      </c>
      <c r="I49" s="43">
        <f t="shared" si="4"/>
        <v>8.3900000000000002E-2</v>
      </c>
      <c r="J49" s="71">
        <f t="shared" si="4"/>
        <v>2.9999999999999997E-4</v>
      </c>
      <c r="L49" s="76">
        <f>SUMPRODUCT('Q1'!$G$117:$L$117,'Q1'!H51:M51)</f>
        <v>-6.367437716158536E-2</v>
      </c>
      <c r="N49">
        <f t="shared" si="5"/>
        <v>-6.3974377161585355E-2</v>
      </c>
      <c r="O49">
        <f t="shared" si="6"/>
        <v>-3.4000000000000002E-3</v>
      </c>
      <c r="P49">
        <f t="shared" si="3"/>
        <v>-3.1000000000000003E-3</v>
      </c>
      <c r="S49" s="53" t="s">
        <v>79</v>
      </c>
      <c r="T49" s="53">
        <v>0.64210361015424888</v>
      </c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>
      <c r="A50" s="94">
        <v>202206</v>
      </c>
      <c r="B50" s="42">
        <v>-8.43</v>
      </c>
      <c r="C50" s="42">
        <v>2.1</v>
      </c>
      <c r="D50" s="42">
        <v>-5.97</v>
      </c>
      <c r="E50" s="67">
        <v>0.06</v>
      </c>
      <c r="F50" s="43"/>
      <c r="G50" s="70">
        <f t="shared" si="4"/>
        <v>-8.43E-2</v>
      </c>
      <c r="H50" s="43">
        <f t="shared" si="4"/>
        <v>2.1000000000000001E-2</v>
      </c>
      <c r="I50" s="43">
        <f t="shared" si="4"/>
        <v>-5.9699999999999996E-2</v>
      </c>
      <c r="J50" s="71">
        <f t="shared" si="4"/>
        <v>5.9999999999999995E-4</v>
      </c>
      <c r="L50" s="76">
        <f>SUMPRODUCT('Q1'!$G$117:$L$117,'Q1'!H52:M52)</f>
        <v>-4.652823441947148E-2</v>
      </c>
      <c r="N50">
        <f t="shared" si="5"/>
        <v>-4.7128234419471483E-2</v>
      </c>
      <c r="O50">
        <f t="shared" si="6"/>
        <v>-8.43E-2</v>
      </c>
      <c r="P50">
        <f t="shared" si="3"/>
        <v>-8.3699999999999997E-2</v>
      </c>
      <c r="S50" s="53" t="s">
        <v>80</v>
      </c>
      <c r="T50" s="53">
        <v>0.62293058926965517</v>
      </c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>
      <c r="A51" s="94">
        <v>202207</v>
      </c>
      <c r="B51" s="42">
        <v>9.57</v>
      </c>
      <c r="C51" s="42">
        <v>2.81</v>
      </c>
      <c r="D51" s="42">
        <v>-4.05</v>
      </c>
      <c r="E51" s="67">
        <v>0.08</v>
      </c>
      <c r="F51" s="43"/>
      <c r="G51" s="70">
        <f t="shared" si="4"/>
        <v>9.5700000000000007E-2</v>
      </c>
      <c r="H51" s="43">
        <f t="shared" si="4"/>
        <v>2.81E-2</v>
      </c>
      <c r="I51" s="43">
        <f t="shared" si="4"/>
        <v>-4.0500000000000001E-2</v>
      </c>
      <c r="J51" s="71">
        <f t="shared" si="4"/>
        <v>8.0000000000000004E-4</v>
      </c>
      <c r="L51" s="76">
        <f>SUMPRODUCT('Q1'!$G$117:$L$117,'Q1'!H53:M53)</f>
        <v>5.093448706880576E-2</v>
      </c>
      <c r="N51">
        <f t="shared" si="5"/>
        <v>5.0134487068805758E-2</v>
      </c>
      <c r="O51">
        <f t="shared" si="6"/>
        <v>9.5700000000000007E-2</v>
      </c>
      <c r="P51">
        <f t="shared" si="3"/>
        <v>9.6500000000000002E-2</v>
      </c>
      <c r="S51" s="53" t="s">
        <v>81</v>
      </c>
      <c r="T51" s="53">
        <v>3.1957347333342878E-2</v>
      </c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6.149999999999999" thickBot="1">
      <c r="A52" s="94">
        <v>202208</v>
      </c>
      <c r="B52" s="42">
        <v>-3.77</v>
      </c>
      <c r="C52" s="42">
        <v>1.4</v>
      </c>
      <c r="D52" s="42">
        <v>0.28999999999999998</v>
      </c>
      <c r="E52" s="67">
        <v>0.19</v>
      </c>
      <c r="F52" s="43"/>
      <c r="G52" s="70">
        <f t="shared" si="4"/>
        <v>-3.7700000000000004E-2</v>
      </c>
      <c r="H52" s="43">
        <f t="shared" si="4"/>
        <v>1.3999999999999999E-2</v>
      </c>
      <c r="I52" s="43">
        <f t="shared" si="4"/>
        <v>2.8999999999999998E-3</v>
      </c>
      <c r="J52" s="71">
        <f t="shared" si="4"/>
        <v>1.9E-3</v>
      </c>
      <c r="L52" s="76">
        <f>SUMPRODUCT('Q1'!$G$117:$L$117,'Q1'!H54:M54)</f>
        <v>-1.4979474856831291E-2</v>
      </c>
      <c r="N52">
        <f t="shared" si="5"/>
        <v>-1.6879474856831292E-2</v>
      </c>
      <c r="O52">
        <f t="shared" si="6"/>
        <v>-3.7700000000000004E-2</v>
      </c>
      <c r="P52">
        <f t="shared" si="3"/>
        <v>-3.5800000000000005E-2</v>
      </c>
      <c r="S52" s="54" t="s">
        <v>74</v>
      </c>
      <c r="T52" s="54">
        <v>60</v>
      </c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>
      <c r="A53" s="94">
        <v>202209</v>
      </c>
      <c r="B53" s="42">
        <v>-9.35</v>
      </c>
      <c r="C53" s="42">
        <v>-0.81</v>
      </c>
      <c r="D53" s="42">
        <v>0.05</v>
      </c>
      <c r="E53" s="67">
        <v>0.19</v>
      </c>
      <c r="F53" s="43"/>
      <c r="G53" s="70">
        <f t="shared" si="4"/>
        <v>-9.35E-2</v>
      </c>
      <c r="H53" s="43">
        <f t="shared" si="4"/>
        <v>-8.1000000000000013E-3</v>
      </c>
      <c r="I53" s="43">
        <f t="shared" si="4"/>
        <v>5.0000000000000001E-4</v>
      </c>
      <c r="J53" s="71">
        <f t="shared" si="4"/>
        <v>1.9E-3</v>
      </c>
      <c r="L53" s="76">
        <f>SUMPRODUCT('Q1'!$G$117:$L$117,'Q1'!H55:M55)</f>
        <v>-9.3494056390775113E-2</v>
      </c>
      <c r="N53">
        <f t="shared" si="5"/>
        <v>-9.5394056390775112E-2</v>
      </c>
      <c r="O53">
        <f t="shared" si="6"/>
        <v>-9.35E-2</v>
      </c>
      <c r="P53">
        <f t="shared" si="3"/>
        <v>-9.1600000000000001E-2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6.149999999999999" thickBot="1">
      <c r="A54" s="94">
        <v>202210</v>
      </c>
      <c r="B54" s="42">
        <v>7.83</v>
      </c>
      <c r="C54" s="42">
        <v>0.06</v>
      </c>
      <c r="D54" s="42">
        <v>8.01</v>
      </c>
      <c r="E54" s="67">
        <v>0.23</v>
      </c>
      <c r="F54" s="43"/>
      <c r="G54" s="70">
        <f t="shared" si="4"/>
        <v>7.8300000000000008E-2</v>
      </c>
      <c r="H54" s="43">
        <f t="shared" si="4"/>
        <v>5.9999999999999995E-4</v>
      </c>
      <c r="I54" s="43">
        <f t="shared" si="4"/>
        <v>8.0100000000000005E-2</v>
      </c>
      <c r="J54" s="71">
        <f t="shared" si="4"/>
        <v>2.3E-3</v>
      </c>
      <c r="L54" s="76">
        <f>SUMPRODUCT('Q1'!$G$117:$L$117,'Q1'!H56:M56)</f>
        <v>7.6100381585145593E-2</v>
      </c>
      <c r="N54">
        <f t="shared" si="5"/>
        <v>7.3800381585145597E-2</v>
      </c>
      <c r="O54">
        <f t="shared" si="6"/>
        <v>7.8300000000000008E-2</v>
      </c>
      <c r="P54">
        <f t="shared" si="3"/>
        <v>8.0600000000000005E-2</v>
      </c>
      <c r="S54" t="s">
        <v>62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>
      <c r="A55" s="94">
        <v>202211</v>
      </c>
      <c r="B55" s="42">
        <v>4.5999999999999996</v>
      </c>
      <c r="C55" s="42">
        <v>-3.52</v>
      </c>
      <c r="D55" s="42">
        <v>1.38</v>
      </c>
      <c r="E55" s="67">
        <v>0.28999999999999998</v>
      </c>
      <c r="F55" s="43"/>
      <c r="G55" s="70">
        <f t="shared" si="4"/>
        <v>4.5999999999999999E-2</v>
      </c>
      <c r="H55" s="43">
        <f t="shared" si="4"/>
        <v>-3.5200000000000002E-2</v>
      </c>
      <c r="I55" s="43">
        <f t="shared" si="4"/>
        <v>1.38E-2</v>
      </c>
      <c r="J55" s="71">
        <f t="shared" si="4"/>
        <v>2.8999999999999998E-3</v>
      </c>
      <c r="L55" s="76">
        <f>SUMPRODUCT('Q1'!$G$117:$L$117,'Q1'!H57:M57)</f>
        <v>5.6202452364945719E-2</v>
      </c>
      <c r="N55">
        <f t="shared" si="5"/>
        <v>5.330245236494572E-2</v>
      </c>
      <c r="O55">
        <f t="shared" si="6"/>
        <v>4.5999999999999999E-2</v>
      </c>
      <c r="P55">
        <f t="shared" si="3"/>
        <v>4.8899999999999999E-2</v>
      </c>
      <c r="S55" s="55"/>
      <c r="T55" s="55" t="s">
        <v>91</v>
      </c>
      <c r="U55" s="55" t="s">
        <v>63</v>
      </c>
      <c r="V55" s="55" t="s">
        <v>64</v>
      </c>
      <c r="W55" s="55" t="s">
        <v>65</v>
      </c>
      <c r="X55" s="55" t="s">
        <v>82</v>
      </c>
      <c r="Y55"/>
      <c r="Z55"/>
      <c r="AA55"/>
      <c r="AB55"/>
      <c r="AC55"/>
      <c r="AD55"/>
      <c r="AE55"/>
      <c r="AF55"/>
      <c r="AG55"/>
    </row>
    <row r="56" spans="1:33">
      <c r="A56" s="94">
        <v>202212</v>
      </c>
      <c r="B56" s="42">
        <v>-6.41</v>
      </c>
      <c r="C56" s="42">
        <v>-0.69</v>
      </c>
      <c r="D56" s="42">
        <v>1.37</v>
      </c>
      <c r="E56" s="67">
        <v>0.33</v>
      </c>
      <c r="F56" s="43"/>
      <c r="G56" s="70">
        <f t="shared" si="4"/>
        <v>-6.4100000000000004E-2</v>
      </c>
      <c r="H56" s="43">
        <f t="shared" si="4"/>
        <v>-6.8999999999999999E-3</v>
      </c>
      <c r="I56" s="43">
        <f t="shared" si="4"/>
        <v>1.3700000000000002E-2</v>
      </c>
      <c r="J56" s="71">
        <f t="shared" si="4"/>
        <v>3.3000000000000004E-3</v>
      </c>
      <c r="L56" s="76">
        <f>SUMPRODUCT('Q1'!$G$117:$L$117,'Q1'!H58:M58)</f>
        <v>-3.4652095906630674E-2</v>
      </c>
      <c r="N56">
        <f t="shared" si="5"/>
        <v>-3.7952095906630672E-2</v>
      </c>
      <c r="O56">
        <f t="shared" si="6"/>
        <v>-6.4100000000000004E-2</v>
      </c>
      <c r="P56">
        <f t="shared" si="3"/>
        <v>-6.0800000000000007E-2</v>
      </c>
      <c r="S56" s="53" t="s">
        <v>66</v>
      </c>
      <c r="T56" s="53">
        <v>3</v>
      </c>
      <c r="U56" s="53">
        <v>0.10260706541121334</v>
      </c>
      <c r="V56" s="53">
        <v>3.4202355137071115E-2</v>
      </c>
      <c r="W56" s="53">
        <v>33.489955183337941</v>
      </c>
      <c r="X56" s="53">
        <v>1.5664115684166623E-12</v>
      </c>
      <c r="Y56"/>
      <c r="Z56"/>
      <c r="AA56"/>
      <c r="AB56"/>
      <c r="AC56"/>
      <c r="AD56"/>
      <c r="AE56"/>
      <c r="AF56"/>
      <c r="AG56"/>
    </row>
    <row r="57" spans="1:33">
      <c r="A57" s="94">
        <v>202301</v>
      </c>
      <c r="B57" s="42">
        <v>6.65</v>
      </c>
      <c r="C57" s="42">
        <v>5.01</v>
      </c>
      <c r="D57" s="42">
        <v>-4.01</v>
      </c>
      <c r="E57" s="67">
        <v>0.35</v>
      </c>
      <c r="F57" s="43"/>
      <c r="G57" s="70">
        <f t="shared" si="4"/>
        <v>6.6500000000000004E-2</v>
      </c>
      <c r="H57" s="43">
        <f t="shared" si="4"/>
        <v>5.0099999999999999E-2</v>
      </c>
      <c r="I57" s="43">
        <f t="shared" si="4"/>
        <v>-4.0099999999999997E-2</v>
      </c>
      <c r="J57" s="71">
        <f t="shared" si="4"/>
        <v>3.4999999999999996E-3</v>
      </c>
      <c r="L57" s="76">
        <f>SUMPRODUCT('Q1'!$G$117:$L$117,'Q1'!H59:M59)</f>
        <v>1.3692468172630139E-2</v>
      </c>
      <c r="N57">
        <f t="shared" si="5"/>
        <v>1.0192468172630139E-2</v>
      </c>
      <c r="O57">
        <f t="shared" si="6"/>
        <v>6.6500000000000004E-2</v>
      </c>
      <c r="P57">
        <f t="shared" si="3"/>
        <v>7.0000000000000007E-2</v>
      </c>
      <c r="S57" s="53" t="s">
        <v>67</v>
      </c>
      <c r="T57" s="53">
        <v>56</v>
      </c>
      <c r="U57" s="53">
        <v>5.7191234720699362E-2</v>
      </c>
      <c r="V57" s="53">
        <v>1.0212720485839172E-3</v>
      </c>
      <c r="Y57"/>
      <c r="Z57"/>
      <c r="AA57"/>
      <c r="AB57"/>
      <c r="AC57"/>
      <c r="AD57"/>
      <c r="AE57"/>
      <c r="AF57"/>
      <c r="AG57"/>
    </row>
    <row r="58" spans="1:33" ht="16.149999999999999" thickBot="1">
      <c r="A58" s="94">
        <v>202302</v>
      </c>
      <c r="B58" s="42">
        <v>-2.58</v>
      </c>
      <c r="C58" s="42">
        <v>1.17</v>
      </c>
      <c r="D58" s="42">
        <v>-0.81</v>
      </c>
      <c r="E58" s="67">
        <v>0.34</v>
      </c>
      <c r="F58" s="43"/>
      <c r="G58" s="70">
        <f t="shared" si="4"/>
        <v>-2.58E-2</v>
      </c>
      <c r="H58" s="43">
        <f t="shared" si="4"/>
        <v>1.17E-2</v>
      </c>
      <c r="I58" s="43">
        <f t="shared" si="4"/>
        <v>-8.1000000000000013E-3</v>
      </c>
      <c r="J58" s="71">
        <f t="shared" si="4"/>
        <v>3.4000000000000002E-3</v>
      </c>
      <c r="L58" s="76">
        <f>SUMPRODUCT('Q1'!$G$117:$L$117,'Q1'!H60:M60)</f>
        <v>-1.1177304513793848E-2</v>
      </c>
      <c r="N58">
        <f t="shared" si="5"/>
        <v>-1.4577304513793849E-2</v>
      </c>
      <c r="O58">
        <f t="shared" si="6"/>
        <v>-2.58E-2</v>
      </c>
      <c r="P58">
        <f t="shared" si="3"/>
        <v>-2.24E-2</v>
      </c>
      <c r="S58" s="54" t="s">
        <v>19</v>
      </c>
      <c r="T58" s="54">
        <v>59</v>
      </c>
      <c r="U58" s="54">
        <v>0.15979830013191271</v>
      </c>
      <c r="V58" s="54"/>
      <c r="W58" s="54"/>
      <c r="X58" s="54"/>
      <c r="Y58"/>
      <c r="Z58"/>
      <c r="AA58"/>
      <c r="AB58"/>
      <c r="AC58"/>
      <c r="AD58"/>
      <c r="AE58"/>
      <c r="AF58"/>
      <c r="AG58"/>
    </row>
    <row r="59" spans="1:33" ht="16.149999999999999" thickBot="1">
      <c r="A59" s="94">
        <v>202303</v>
      </c>
      <c r="B59" s="42">
        <v>2.5099999999999998</v>
      </c>
      <c r="C59" s="42">
        <v>-5.51</v>
      </c>
      <c r="D59" s="42">
        <v>-8.85</v>
      </c>
      <c r="E59" s="67">
        <v>0.36</v>
      </c>
      <c r="F59" s="43"/>
      <c r="G59" s="70">
        <f t="shared" si="4"/>
        <v>2.5099999999999997E-2</v>
      </c>
      <c r="H59" s="43">
        <f t="shared" si="4"/>
        <v>-5.5099999999999996E-2</v>
      </c>
      <c r="I59" s="43">
        <f t="shared" si="4"/>
        <v>-8.8499999999999995E-2</v>
      </c>
      <c r="J59" s="71">
        <f t="shared" si="4"/>
        <v>3.5999999999999999E-3</v>
      </c>
      <c r="L59" s="76">
        <f>SUMPRODUCT('Q1'!$G$117:$L$117,'Q1'!H61:M61)</f>
        <v>9.5696247725715208E-2</v>
      </c>
      <c r="N59">
        <f t="shared" si="5"/>
        <v>9.2096247725715202E-2</v>
      </c>
      <c r="O59">
        <f t="shared" si="6"/>
        <v>2.5099999999999997E-2</v>
      </c>
      <c r="P59">
        <f t="shared" si="3"/>
        <v>2.8699999999999996E-2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>
      <c r="A60" s="94">
        <v>202304</v>
      </c>
      <c r="B60" s="42">
        <v>0.61</v>
      </c>
      <c r="C60" s="42">
        <v>-3.35</v>
      </c>
      <c r="D60" s="42">
        <v>-0.04</v>
      </c>
      <c r="E60" s="67">
        <v>0.35</v>
      </c>
      <c r="F60" s="43"/>
      <c r="G60" s="70">
        <f t="shared" si="4"/>
        <v>6.1000000000000004E-3</v>
      </c>
      <c r="H60" s="43">
        <f t="shared" si="4"/>
        <v>-3.3500000000000002E-2</v>
      </c>
      <c r="I60" s="43">
        <f t="shared" si="4"/>
        <v>-4.0000000000000002E-4</v>
      </c>
      <c r="J60" s="71">
        <f t="shared" si="4"/>
        <v>3.4999999999999996E-3</v>
      </c>
      <c r="L60" s="76">
        <f>SUMPRODUCT('Q1'!$G$117:$L$117,'Q1'!H62:M62)</f>
        <v>3.9644787296258317E-2</v>
      </c>
      <c r="N60">
        <f t="shared" si="5"/>
        <v>3.6144787296258321E-2</v>
      </c>
      <c r="O60">
        <f t="shared" si="6"/>
        <v>6.1000000000000004E-3</v>
      </c>
      <c r="P60">
        <f t="shared" si="3"/>
        <v>9.6000000000000009E-3</v>
      </c>
      <c r="S60" s="55"/>
      <c r="T60" s="55" t="s">
        <v>83</v>
      </c>
      <c r="U60" s="55" t="s">
        <v>81</v>
      </c>
      <c r="V60" s="55" t="s">
        <v>84</v>
      </c>
      <c r="W60" s="55" t="s">
        <v>69</v>
      </c>
      <c r="X60" s="55" t="s">
        <v>70</v>
      </c>
      <c r="Y60" s="55" t="s">
        <v>71</v>
      </c>
      <c r="Z60" s="55" t="s">
        <v>72</v>
      </c>
      <c r="AA60" s="55" t="s">
        <v>73</v>
      </c>
      <c r="AB60"/>
      <c r="AC60"/>
      <c r="AD60"/>
      <c r="AE60"/>
      <c r="AF60"/>
      <c r="AG60"/>
    </row>
    <row r="61" spans="1:33" ht="16.149999999999999" thickBot="1">
      <c r="A61" s="95">
        <v>202305</v>
      </c>
      <c r="B61" s="68">
        <v>0.35</v>
      </c>
      <c r="C61" s="68">
        <v>1.61</v>
      </c>
      <c r="D61" s="68">
        <v>-7.72</v>
      </c>
      <c r="E61" s="69">
        <v>0.36</v>
      </c>
      <c r="F61" s="43"/>
      <c r="G61" s="72">
        <f t="shared" si="4"/>
        <v>3.4999999999999996E-3</v>
      </c>
      <c r="H61" s="73">
        <f t="shared" si="4"/>
        <v>1.61E-2</v>
      </c>
      <c r="I61" s="73">
        <f t="shared" si="4"/>
        <v>-7.7200000000000005E-2</v>
      </c>
      <c r="J61" s="74">
        <f t="shared" si="4"/>
        <v>3.5999999999999999E-3</v>
      </c>
      <c r="L61" s="77">
        <f>SUMPRODUCT('Q1'!$G$117:$L$117,'Q1'!H63:M63)</f>
        <v>-2.9132719718655879E-2</v>
      </c>
      <c r="N61">
        <f t="shared" si="5"/>
        <v>-3.2732719718655878E-2</v>
      </c>
      <c r="O61">
        <f t="shared" si="6"/>
        <v>3.4999999999999996E-3</v>
      </c>
      <c r="P61">
        <f t="shared" si="3"/>
        <v>7.0999999999999995E-3</v>
      </c>
      <c r="S61" s="53" t="s">
        <v>68</v>
      </c>
      <c r="T61" s="63">
        <v>9.3043998814476784E-3</v>
      </c>
      <c r="U61" s="53">
        <v>4.220881659665718E-3</v>
      </c>
      <c r="V61" s="53">
        <v>2.2043735483890732</v>
      </c>
      <c r="W61" s="57">
        <v>3.1624079586466076E-2</v>
      </c>
      <c r="X61" s="53">
        <v>8.4895787136712343E-4</v>
      </c>
      <c r="Y61" s="53">
        <v>1.7759841891528232E-2</v>
      </c>
      <c r="Z61" s="53">
        <v>8.4895787136712343E-4</v>
      </c>
      <c r="AA61" s="53">
        <v>1.7759841891528232E-2</v>
      </c>
      <c r="AB61" s="57" t="s">
        <v>92</v>
      </c>
      <c r="AC61"/>
      <c r="AD61"/>
      <c r="AE61"/>
      <c r="AF61"/>
      <c r="AG61"/>
    </row>
    <row r="62" spans="1:33">
      <c r="A62" s="45"/>
      <c r="B62" s="46"/>
      <c r="C62" s="46"/>
      <c r="D62" s="46"/>
      <c r="E62" s="46"/>
      <c r="F62" s="47"/>
      <c r="G62" s="43"/>
      <c r="H62" s="43"/>
      <c r="I62" s="43"/>
      <c r="J62" s="44"/>
      <c r="L62" s="60"/>
      <c r="S62" s="53" t="s">
        <v>33</v>
      </c>
      <c r="T62" s="63">
        <v>0.77839381659539286</v>
      </c>
      <c r="U62" s="53">
        <v>7.8798050672231015E-2</v>
      </c>
      <c r="V62" s="53">
        <v>9.8783384862298913</v>
      </c>
      <c r="W62" s="57">
        <v>7.1115348261270614E-14</v>
      </c>
      <c r="X62" s="53">
        <v>0.62054235292294169</v>
      </c>
      <c r="Y62" s="53">
        <v>0.93624528026784404</v>
      </c>
      <c r="Z62" s="53">
        <v>0.62054235292294169</v>
      </c>
      <c r="AA62" s="53">
        <v>0.93624528026784404</v>
      </c>
      <c r="AB62" s="57" t="s">
        <v>92</v>
      </c>
      <c r="AC62"/>
      <c r="AD62"/>
      <c r="AE62"/>
      <c r="AF62"/>
      <c r="AG62"/>
    </row>
    <row r="63" spans="1:33" ht="18">
      <c r="F63" s="63" t="s">
        <v>93</v>
      </c>
      <c r="G63" s="61"/>
      <c r="H63" s="62"/>
      <c r="I63" s="62"/>
      <c r="J63" s="63">
        <f>AVERAGE(J2:J62)*12</f>
        <v>1.3940000000000011E-2</v>
      </c>
      <c r="K63" s="62"/>
      <c r="L63" s="64">
        <f>AVERAGE(L2:L62)*12</f>
        <v>0.22686973946648295</v>
      </c>
      <c r="M63" s="63"/>
      <c r="N63" s="102">
        <f>AVERAGE(N2:N61)*12</f>
        <v>0.21292973946648303</v>
      </c>
      <c r="O63" s="63">
        <f>AVERAGE(O2:O61)*12</f>
        <v>0.10028000000000004</v>
      </c>
      <c r="P63" s="63">
        <f>AVERAGE(P2:P61)*12</f>
        <v>0.11422000000000002</v>
      </c>
      <c r="S63" s="53" t="s">
        <v>34</v>
      </c>
      <c r="T63" s="63">
        <v>-0.69750197771420175</v>
      </c>
      <c r="U63" s="53">
        <v>0.15729925933746203</v>
      </c>
      <c r="V63" s="53">
        <v>-4.4342356133910057</v>
      </c>
      <c r="W63" s="57">
        <v>4.3641021248741107E-5</v>
      </c>
      <c r="X63" s="53">
        <v>-1.0126102590636172</v>
      </c>
      <c r="Y63" s="53">
        <v>-0.38239369636478637</v>
      </c>
      <c r="Z63" s="53">
        <v>-1.0126102590636172</v>
      </c>
      <c r="AA63" s="53">
        <v>-0.38239369636478637</v>
      </c>
      <c r="AB63" s="57" t="s">
        <v>92</v>
      </c>
      <c r="AC63"/>
      <c r="AD63"/>
      <c r="AE63"/>
      <c r="AF63"/>
      <c r="AG63"/>
    </row>
    <row r="64" spans="1:33" ht="16.149999999999999" thickBot="1">
      <c r="S64" s="54" t="s">
        <v>35</v>
      </c>
      <c r="T64" s="63">
        <v>-0.13005239878222319</v>
      </c>
      <c r="U64" s="54">
        <v>8.8895328727163006E-2</v>
      </c>
      <c r="V64" s="54">
        <v>-1.4629834958075154</v>
      </c>
      <c r="W64" s="58">
        <v>0.14906219999588452</v>
      </c>
      <c r="X64" s="54">
        <v>-0.30813114100384315</v>
      </c>
      <c r="Y64" s="54">
        <v>4.8026343439396768E-2</v>
      </c>
      <c r="Z64" s="54">
        <v>-0.30813114100384315</v>
      </c>
      <c r="AA64" s="54">
        <v>4.8026343439396768E-2</v>
      </c>
      <c r="AB64" s="57" t="s">
        <v>103</v>
      </c>
      <c r="AC64"/>
      <c r="AD64"/>
      <c r="AE64"/>
      <c r="AF64"/>
      <c r="AG64"/>
    </row>
    <row r="65" spans="18:33">
      <c r="R65" s="98" t="s">
        <v>109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8:33">
      <c r="S66" s="65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8:33"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8:33"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8:33"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8:33"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8:33"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8:33"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8:33"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8:33"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8:33"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8:33"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8:33"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8:33"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8:33"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8:33"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9:33"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9:33"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9:33"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9:33"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9:33"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9:33"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9:33"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9:33"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9:33"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9:33"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9:33"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9:33"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9:33"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9:33"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9:33"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9:33"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9:33"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9:33"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9:33"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9:33"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9:33"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9:33">
      <c r="S102"/>
      <c r="T102"/>
      <c r="U102"/>
      <c r="V102"/>
      <c r="W102"/>
      <c r="X102"/>
      <c r="Y102"/>
      <c r="Z102"/>
      <c r="AA102"/>
    </row>
    <row r="103" spans="19:33">
      <c r="S103"/>
      <c r="T103"/>
      <c r="U103"/>
      <c r="V103"/>
      <c r="W103"/>
      <c r="X103"/>
      <c r="Y103"/>
      <c r="Z103"/>
      <c r="AA103"/>
    </row>
    <row r="104" spans="19:33">
      <c r="S104"/>
      <c r="T104"/>
      <c r="U104"/>
      <c r="V104"/>
      <c r="W104"/>
      <c r="X104"/>
      <c r="Y104"/>
      <c r="Z104"/>
      <c r="AA104"/>
    </row>
    <row r="105" spans="19:33">
      <c r="S105"/>
      <c r="T105"/>
      <c r="U105"/>
      <c r="V105"/>
      <c r="W105"/>
      <c r="X105"/>
      <c r="Y105"/>
      <c r="Z105"/>
      <c r="AA105"/>
    </row>
    <row r="106" spans="19:33">
      <c r="S106"/>
      <c r="T106"/>
      <c r="U106"/>
      <c r="V106"/>
      <c r="W106"/>
      <c r="X106"/>
      <c r="Y106"/>
      <c r="Z106"/>
      <c r="AA106"/>
    </row>
    <row r="107" spans="19:33">
      <c r="S107"/>
      <c r="T107"/>
      <c r="U107"/>
      <c r="V107"/>
      <c r="W107"/>
      <c r="X107"/>
      <c r="Y107"/>
      <c r="Z107"/>
      <c r="AA107"/>
    </row>
    <row r="108" spans="19:33">
      <c r="S108"/>
      <c r="T108"/>
      <c r="U108"/>
      <c r="V108"/>
      <c r="W108"/>
      <c r="X108"/>
      <c r="Y108"/>
      <c r="Z108"/>
      <c r="AA108"/>
    </row>
    <row r="109" spans="19:33">
      <c r="S109"/>
      <c r="T109"/>
      <c r="U109"/>
      <c r="V109"/>
      <c r="W109"/>
      <c r="X109"/>
      <c r="Y109"/>
      <c r="Z109"/>
      <c r="AA109"/>
    </row>
    <row r="110" spans="19:33">
      <c r="S110"/>
      <c r="T110"/>
      <c r="U110"/>
      <c r="V110"/>
      <c r="W110"/>
      <c r="X110"/>
      <c r="Y110"/>
      <c r="Z110"/>
      <c r="AA110"/>
    </row>
    <row r="111" spans="19:33">
      <c r="S111"/>
      <c r="T111"/>
      <c r="U111"/>
      <c r="V111"/>
      <c r="W111"/>
      <c r="X111"/>
      <c r="Y111"/>
      <c r="Z111"/>
      <c r="AA111"/>
    </row>
    <row r="112" spans="19:33">
      <c r="S112"/>
      <c r="T112"/>
      <c r="U112"/>
      <c r="V112"/>
      <c r="W112"/>
      <c r="X112"/>
      <c r="Y112"/>
      <c r="Z112"/>
      <c r="AA112"/>
    </row>
    <row r="113" spans="19:27">
      <c r="S113"/>
      <c r="T113"/>
      <c r="U113"/>
      <c r="V113"/>
      <c r="W113"/>
      <c r="X113"/>
      <c r="Y113"/>
      <c r="Z113"/>
      <c r="AA113"/>
    </row>
    <row r="114" spans="19:27">
      <c r="S114"/>
      <c r="T114"/>
      <c r="U114"/>
      <c r="V114"/>
      <c r="W114"/>
      <c r="X114"/>
      <c r="Y114"/>
      <c r="Z114"/>
      <c r="AA114"/>
    </row>
    <row r="115" spans="19:27">
      <c r="S115"/>
      <c r="T115"/>
      <c r="U115"/>
      <c r="V115"/>
      <c r="W115"/>
      <c r="X115"/>
      <c r="Y115"/>
      <c r="Z115"/>
      <c r="AA115"/>
    </row>
    <row r="116" spans="19:27">
      <c r="S116"/>
      <c r="T116"/>
      <c r="U116"/>
      <c r="V116"/>
      <c r="W116"/>
      <c r="X116"/>
      <c r="Y116"/>
      <c r="Z116"/>
      <c r="AA116"/>
    </row>
    <row r="117" spans="19:27">
      <c r="S117"/>
      <c r="T117"/>
      <c r="U117"/>
      <c r="V117"/>
      <c r="W117"/>
      <c r="X117"/>
      <c r="Y117"/>
      <c r="Z117"/>
      <c r="AA117"/>
    </row>
    <row r="118" spans="19:27">
      <c r="S118"/>
      <c r="T118"/>
      <c r="U118"/>
      <c r="V118"/>
      <c r="W118"/>
      <c r="X118"/>
      <c r="Y118"/>
      <c r="Z118"/>
      <c r="AA118"/>
    </row>
    <row r="119" spans="19:27">
      <c r="S119"/>
      <c r="T119"/>
      <c r="U119"/>
      <c r="V119"/>
      <c r="W119"/>
      <c r="X119"/>
      <c r="Y119"/>
      <c r="Z119"/>
      <c r="AA119"/>
    </row>
    <row r="120" spans="19:27">
      <c r="S120"/>
      <c r="T120"/>
      <c r="U120"/>
      <c r="V120"/>
      <c r="W120"/>
      <c r="X120"/>
      <c r="Y120"/>
      <c r="Z120"/>
      <c r="AA120"/>
    </row>
    <row r="121" spans="19:27">
      <c r="S121"/>
      <c r="T121"/>
      <c r="U121"/>
      <c r="V121"/>
      <c r="W121"/>
      <c r="X121"/>
      <c r="Y121"/>
      <c r="Z121"/>
      <c r="AA121"/>
    </row>
    <row r="122" spans="19:27">
      <c r="S122"/>
      <c r="T122"/>
      <c r="U122"/>
      <c r="V122"/>
      <c r="W122"/>
      <c r="X122"/>
      <c r="Y122"/>
      <c r="Z122"/>
      <c r="AA122"/>
    </row>
    <row r="123" spans="19:27">
      <c r="S123"/>
      <c r="T123"/>
      <c r="U123"/>
      <c r="V123"/>
      <c r="W123"/>
      <c r="X123"/>
      <c r="Y123"/>
      <c r="Z123"/>
      <c r="AA123"/>
    </row>
    <row r="124" spans="19:27">
      <c r="S124"/>
      <c r="T124"/>
      <c r="U124"/>
      <c r="V124"/>
      <c r="W124"/>
      <c r="X124"/>
      <c r="Y124"/>
      <c r="Z124"/>
      <c r="AA124"/>
    </row>
    <row r="125" spans="19:27">
      <c r="S125"/>
      <c r="T125"/>
      <c r="U125"/>
      <c r="V125"/>
      <c r="W125"/>
      <c r="X125"/>
      <c r="Y125"/>
      <c r="Z125"/>
      <c r="AA125"/>
    </row>
    <row r="126" spans="19:27">
      <c r="S126"/>
      <c r="T126"/>
      <c r="U126"/>
      <c r="V126"/>
      <c r="W126"/>
      <c r="X126"/>
      <c r="Y126"/>
      <c r="Z126"/>
      <c r="AA126"/>
    </row>
    <row r="127" spans="19:27">
      <c r="S127"/>
      <c r="T127"/>
      <c r="U127"/>
      <c r="V127"/>
      <c r="W127"/>
      <c r="X127"/>
      <c r="Y127"/>
      <c r="Z127"/>
      <c r="AA127"/>
    </row>
    <row r="128" spans="19:27">
      <c r="S128"/>
      <c r="T128"/>
      <c r="U128"/>
      <c r="V128"/>
      <c r="W128"/>
      <c r="X128"/>
      <c r="Y128"/>
      <c r="Z128"/>
      <c r="AA128"/>
    </row>
    <row r="129" spans="19:27">
      <c r="S129"/>
      <c r="T129"/>
      <c r="U129"/>
      <c r="V129"/>
      <c r="W129"/>
      <c r="X129"/>
      <c r="Y129"/>
      <c r="Z129"/>
      <c r="AA129"/>
    </row>
    <row r="130" spans="19:27">
      <c r="S130"/>
      <c r="T130"/>
      <c r="U130"/>
      <c r="V130"/>
      <c r="W130"/>
      <c r="X130"/>
      <c r="Y130"/>
      <c r="Z130"/>
      <c r="AA130"/>
    </row>
    <row r="131" spans="19:27">
      <c r="S131"/>
      <c r="T131"/>
      <c r="U131"/>
      <c r="V131"/>
      <c r="W131"/>
      <c r="X131"/>
      <c r="Y131"/>
      <c r="Z131"/>
      <c r="AA131"/>
    </row>
    <row r="132" spans="19:27">
      <c r="S132"/>
      <c r="T132"/>
      <c r="U132"/>
      <c r="V132"/>
      <c r="W132"/>
      <c r="X132"/>
      <c r="Y132"/>
      <c r="Z132"/>
      <c r="AA132"/>
    </row>
    <row r="133" spans="19:27">
      <c r="S133"/>
      <c r="T133"/>
      <c r="U133"/>
      <c r="V133"/>
      <c r="W133"/>
      <c r="X133"/>
      <c r="Y133"/>
      <c r="Z133"/>
      <c r="AA133"/>
    </row>
    <row r="134" spans="19:27">
      <c r="S134"/>
      <c r="T134"/>
      <c r="U134"/>
      <c r="V134"/>
      <c r="W134"/>
      <c r="X134"/>
      <c r="Y134"/>
      <c r="Z134"/>
      <c r="AA134"/>
    </row>
    <row r="135" spans="19:27">
      <c r="S135"/>
      <c r="T135"/>
      <c r="U135"/>
      <c r="V135"/>
      <c r="W135"/>
      <c r="X135"/>
      <c r="Y135"/>
      <c r="Z135"/>
      <c r="AA135"/>
    </row>
    <row r="136" spans="19:27">
      <c r="S136"/>
      <c r="T136"/>
      <c r="U136"/>
      <c r="V136"/>
      <c r="W136"/>
      <c r="X136"/>
      <c r="Y136"/>
      <c r="Z136"/>
      <c r="AA136"/>
    </row>
    <row r="137" spans="19:27">
      <c r="S137"/>
      <c r="T137"/>
      <c r="U137"/>
      <c r="V137"/>
      <c r="W137"/>
      <c r="X137"/>
      <c r="Y137"/>
      <c r="Z137"/>
      <c r="AA137"/>
    </row>
    <row r="138" spans="19:27">
      <c r="S138"/>
      <c r="T138"/>
      <c r="U138"/>
      <c r="V138"/>
      <c r="W138"/>
      <c r="X138"/>
      <c r="Y138"/>
      <c r="Z138"/>
      <c r="AA138"/>
    </row>
    <row r="139" spans="19:27">
      <c r="S139"/>
      <c r="T139"/>
      <c r="U139"/>
      <c r="V139"/>
      <c r="W139"/>
      <c r="X139"/>
      <c r="Y139"/>
      <c r="Z139"/>
      <c r="AA139"/>
    </row>
    <row r="140" spans="19:27">
      <c r="S140"/>
      <c r="T140"/>
      <c r="U140"/>
      <c r="V140"/>
      <c r="W140"/>
      <c r="X140"/>
      <c r="Y140"/>
      <c r="Z140"/>
      <c r="AA140"/>
    </row>
    <row r="141" spans="19:27">
      <c r="S141"/>
      <c r="T141"/>
      <c r="U141"/>
      <c r="V141"/>
      <c r="W141"/>
      <c r="X141"/>
      <c r="Y141"/>
      <c r="Z141"/>
      <c r="AA141"/>
    </row>
    <row r="142" spans="19:27">
      <c r="S142"/>
      <c r="T142"/>
      <c r="U142"/>
      <c r="V142"/>
      <c r="W142"/>
      <c r="X142"/>
      <c r="Y142"/>
      <c r="Z142"/>
      <c r="AA142"/>
    </row>
    <row r="143" spans="19:27">
      <c r="S143"/>
      <c r="T143"/>
      <c r="U143"/>
      <c r="V143"/>
      <c r="W143"/>
      <c r="X143"/>
      <c r="Y143"/>
      <c r="Z143"/>
      <c r="AA143"/>
    </row>
    <row r="144" spans="19:27">
      <c r="S144"/>
      <c r="T144"/>
      <c r="U144"/>
      <c r="V144"/>
      <c r="W144"/>
      <c r="X144"/>
      <c r="Y144"/>
      <c r="Z144"/>
      <c r="AA144"/>
    </row>
    <row r="145" spans="19:27">
      <c r="S145"/>
      <c r="T145"/>
      <c r="U145"/>
      <c r="V145"/>
      <c r="W145"/>
      <c r="X145"/>
      <c r="Y145"/>
      <c r="Z145"/>
      <c r="AA145"/>
    </row>
    <row r="146" spans="19:27">
      <c r="S146"/>
      <c r="T146"/>
      <c r="U146"/>
      <c r="V146"/>
      <c r="W146"/>
      <c r="X146"/>
      <c r="Y146"/>
      <c r="Z146"/>
      <c r="AA146"/>
    </row>
    <row r="147" spans="19:27">
      <c r="S147"/>
      <c r="T147"/>
      <c r="U147"/>
      <c r="V147"/>
      <c r="W147"/>
      <c r="X147"/>
      <c r="Y147"/>
      <c r="Z147"/>
      <c r="AA147"/>
    </row>
    <row r="148" spans="19:27">
      <c r="S148"/>
      <c r="T148"/>
      <c r="U148"/>
      <c r="V148"/>
      <c r="W148"/>
      <c r="X148"/>
      <c r="Y148"/>
      <c r="Z148"/>
      <c r="AA148"/>
    </row>
    <row r="149" spans="19:27">
      <c r="S149"/>
      <c r="T149"/>
      <c r="U149"/>
      <c r="V149"/>
      <c r="W149"/>
      <c r="X149"/>
      <c r="Y149"/>
      <c r="Z149"/>
      <c r="AA149"/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valier</dc:creator>
  <cp:keywords/>
  <dc:description/>
  <cp:lastModifiedBy>Yin Fong Wang</cp:lastModifiedBy>
  <cp:revision/>
  <dcterms:created xsi:type="dcterms:W3CDTF">2023-09-11T03:36:34Z</dcterms:created>
  <dcterms:modified xsi:type="dcterms:W3CDTF">2024-03-06T05:35:08Z</dcterms:modified>
  <cp:category/>
  <cp:contentStatus/>
</cp:coreProperties>
</file>