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6"/>
  <workbookPr/>
  <mc:AlternateContent xmlns:mc="http://schemas.openxmlformats.org/markup-compatibility/2006">
    <mc:Choice Requires="x15">
      <x15ac:absPath xmlns:x15ac="http://schemas.microsoft.com/office/spreadsheetml/2010/11/ac" url="C:\Users\שרגא יהודית\source\repos\‏‏תיקיה חדשה\RetirementSimulator\server\"/>
    </mc:Choice>
  </mc:AlternateContent>
  <xr:revisionPtr revIDLastSave="0" documentId="13_ncr:1_{F028CEB4-2233-4F2D-A895-52047174D67B}" xr6:coauthVersionLast="36" xr6:coauthVersionMax="36" xr10:uidLastSave="{00000000-0000-0000-0000-000000000000}"/>
  <bookViews>
    <workbookView xWindow="0" yWindow="0" windowWidth="28800" windowHeight="12255" firstSheet="1" activeTab="4" xr2:uid="{00000000-000D-0000-FFFF-FFFF00000000}"/>
  </bookViews>
  <sheets>
    <sheet name="מסך 1" sheetId="1" r:id="rId1"/>
    <sheet name="מסך 2 - נתונים כלליים" sheetId="2" r:id="rId2"/>
    <sheet name="מסך 3 - תקופות עבודה" sheetId="3" r:id="rId3"/>
    <sheet name="מסך 4 - סכומים ויתרות" sheetId="4" r:id="rId4"/>
    <sheet name="סימולציית פרישה - תקציבית" sheetId="5" r:id="rId5"/>
    <sheet name="מקדמי גיל" sheetId="7" r:id="rId6"/>
    <sheet name="סימולציית פרישה - צוברת" sheetId="6" r:id="rId7"/>
  </sheets>
  <externalReferences>
    <externalReference r:id="rId8"/>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42" i="5" l="1"/>
  <c r="E341" i="5"/>
  <c r="G334" i="5"/>
  <c r="G333" i="5"/>
  <c r="G335" i="5" l="1"/>
  <c r="D336" i="5" s="1"/>
  <c r="D60" i="6"/>
  <c r="D70" i="6"/>
  <c r="C157" i="6"/>
  <c r="D200" i="6"/>
  <c r="D167" i="6"/>
  <c r="D144" i="6"/>
  <c r="D131" i="6"/>
  <c r="D129" i="6"/>
  <c r="D124" i="6"/>
  <c r="D126" i="6" s="1"/>
  <c r="D127" i="6" s="1"/>
  <c r="C118" i="6"/>
  <c r="C117" i="6"/>
  <c r="D92" i="6"/>
  <c r="D93" i="6" s="1"/>
  <c r="D32" i="6"/>
  <c r="F32" i="6" s="1"/>
  <c r="D31" i="6"/>
  <c r="F31" i="6" s="1"/>
  <c r="D30" i="6"/>
  <c r="F30" i="6" s="1"/>
  <c r="D29" i="6"/>
  <c r="D28" i="6"/>
  <c r="D27" i="6"/>
  <c r="F27" i="6" s="1"/>
  <c r="D26" i="6"/>
  <c r="D33" i="6" l="1"/>
  <c r="D133" i="6"/>
  <c r="F26" i="6"/>
  <c r="F33" i="6" s="1"/>
  <c r="E411" i="5"/>
  <c r="E404" i="5"/>
  <c r="E378" i="5"/>
  <c r="E225" i="5" l="1"/>
  <c r="E221" i="5"/>
  <c r="E223" i="5"/>
  <c r="E219" i="5"/>
  <c r="E213" i="5"/>
  <c r="E215" i="5" s="1"/>
  <c r="E216" i="5" s="1"/>
  <c r="E355" i="5"/>
  <c r="D302" i="5"/>
  <c r="D296" i="5"/>
  <c r="D314" i="5" s="1"/>
  <c r="E257" i="5"/>
  <c r="E128" i="5"/>
  <c r="E122" i="5"/>
  <c r="E123" i="5" s="1"/>
  <c r="E124" i="5" s="1"/>
  <c r="E115" i="5"/>
  <c r="E108" i="5"/>
  <c r="E109" i="5" s="1"/>
  <c r="E110" i="5" s="1"/>
  <c r="E114" i="5" s="1"/>
  <c r="E95" i="5"/>
  <c r="E96" i="5" s="1"/>
  <c r="E98" i="5" s="1"/>
  <c r="E99" i="5" s="1"/>
  <c r="E244" i="5"/>
  <c r="E245" i="5" s="1"/>
  <c r="E241" i="5"/>
  <c r="E222" i="5" l="1"/>
  <c r="E226" i="5"/>
  <c r="E227" i="5"/>
  <c r="E229" i="5" s="1"/>
  <c r="E130" i="5"/>
  <c r="D315" i="5"/>
  <c r="D303" i="5"/>
  <c r="D304" i="5"/>
  <c r="D305" i="5" s="1"/>
  <c r="E125" i="5"/>
  <c r="E129" i="5" s="1"/>
  <c r="E111" i="5"/>
  <c r="E113" i="5" s="1"/>
  <c r="E100" i="5"/>
  <c r="E101" i="5" s="1"/>
  <c r="E247" i="5"/>
  <c r="D306" i="5" l="1"/>
  <c r="D310" i="5" s="1"/>
  <c r="D307" i="5"/>
  <c r="D311" i="5" s="1"/>
  <c r="D312" i="5" s="1"/>
  <c r="E199" i="5" l="1"/>
  <c r="E197" i="5"/>
  <c r="E201" i="5" l="1"/>
  <c r="E192" i="5"/>
  <c r="E194" i="5" s="1"/>
  <c r="E195" i="5" s="1"/>
  <c r="D186" i="5" l="1"/>
  <c r="D185" i="5"/>
  <c r="E161" i="5"/>
  <c r="E162" i="5" s="1"/>
  <c r="E79" i="5"/>
  <c r="E82" i="5" s="1"/>
  <c r="E80" i="5"/>
  <c r="E78" i="5"/>
  <c r="E69" i="5"/>
  <c r="E68" i="5"/>
  <c r="E50" i="5"/>
  <c r="E36" i="5"/>
  <c r="G36" i="5" s="1"/>
  <c r="E35" i="5"/>
  <c r="G35" i="5" s="1"/>
  <c r="E34" i="5"/>
  <c r="G34" i="5" s="1"/>
  <c r="E33" i="5"/>
  <c r="D43" i="5" s="1"/>
  <c r="E32" i="5"/>
  <c r="D42" i="5" s="1"/>
  <c r="E31" i="5"/>
  <c r="G31" i="5" s="1"/>
  <c r="E30" i="5"/>
  <c r="D43" i="3"/>
  <c r="D44" i="3"/>
  <c r="F44" i="3" s="1"/>
  <c r="D45" i="3"/>
  <c r="F45" i="3" s="1"/>
  <c r="D46" i="3"/>
  <c r="F46" i="3" s="1"/>
  <c r="D47" i="3"/>
  <c r="F47" i="3" s="1"/>
  <c r="D48" i="3"/>
  <c r="F48" i="3" s="1"/>
  <c r="D42" i="3"/>
  <c r="F43" i="3"/>
  <c r="F42" i="3"/>
  <c r="D23" i="3"/>
  <c r="F23" i="3" s="1"/>
  <c r="D24" i="3"/>
  <c r="F34" i="3" s="1"/>
  <c r="D25" i="3"/>
  <c r="F35" i="3" s="1"/>
  <c r="D26" i="3"/>
  <c r="F26" i="3" s="1"/>
  <c r="D27" i="3"/>
  <c r="F27" i="3" s="1"/>
  <c r="D28" i="3"/>
  <c r="F28" i="3" s="1"/>
  <c r="D22" i="3"/>
  <c r="F22" i="3" s="1"/>
  <c r="E81" i="5" l="1"/>
  <c r="E83" i="5" s="1"/>
  <c r="E70" i="5"/>
  <c r="E37" i="5"/>
  <c r="D40" i="5" s="1"/>
  <c r="G30" i="5"/>
  <c r="G37" i="5" s="1"/>
  <c r="D41" i="5"/>
  <c r="F49" i="3"/>
  <c r="D49" i="3"/>
  <c r="F52" i="3" s="1"/>
  <c r="F33" i="3"/>
  <c r="D29" i="3"/>
  <c r="F32" i="3" s="1"/>
  <c r="F53" i="3" l="1"/>
  <c r="D44" i="5"/>
  <c r="E49" i="5" s="1"/>
  <c r="E51" i="5" s="1"/>
  <c r="E52" i="5" s="1"/>
  <c r="E53" i="5" s="1"/>
  <c r="E54" i="5" s="1"/>
  <c r="F29" i="3"/>
  <c r="F36" i="3" s="1"/>
  <c r="D6" i="3" l="1"/>
  <c r="D7" i="3"/>
  <c r="D8" i="3"/>
  <c r="D9" i="3"/>
  <c r="D10" i="3"/>
  <c r="D11" i="3"/>
  <c r="D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Michal</author>
    <author>Esti</author>
  </authors>
  <commentList>
    <comment ref="B46" authorId="0" shapeId="0" xr:uid="{00000000-0006-0000-0400-000001000000}">
      <text>
        <r>
          <rPr>
            <b/>
            <sz val="9"/>
            <color indexed="81"/>
            <rFont val="Tahoma"/>
            <family val="2"/>
          </rPr>
          <t>Michal:</t>
        </r>
        <r>
          <rPr>
            <sz val="9"/>
            <color indexed="81"/>
            <rFont val="Tahoma"/>
            <family val="2"/>
          </rPr>
          <t xml:space="preserve">
כאשר בחרו הסכם קיבוצי + שכר בכירים החישוב שונה</t>
        </r>
      </text>
    </comment>
    <comment ref="B185" authorId="1" shapeId="0" xr:uid="{00000000-0006-0000-0400-00000200000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ל-80%.</t>
        </r>
      </text>
    </comment>
    <comment ref="B186" authorId="1" shapeId="0" xr:uid="{00000000-0006-0000-0400-00000300000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ל-90%.</t>
        </r>
      </text>
    </comment>
    <comment ref="B266" authorId="0" shapeId="0" xr:uid="{00000000-0006-0000-0400-000004000000}">
      <text>
        <r>
          <rPr>
            <b/>
            <sz val="9"/>
            <color indexed="81"/>
            <rFont val="Tahoma"/>
            <family val="2"/>
          </rPr>
          <t>Michal:</t>
        </r>
        <r>
          <rPr>
            <sz val="9"/>
            <color indexed="81"/>
            <rFont val="Tahoma"/>
            <family val="2"/>
          </rPr>
          <t xml:space="preserve">
בדקתי עם נעמה ומחשבים במדינה לפי חלקיות משרה ממוצעת</t>
        </r>
      </text>
    </comment>
    <comment ref="H370" authorId="0" shapeId="0" xr:uid="{00000000-0006-0000-0400-000005000000}">
      <text>
        <r>
          <rPr>
            <b/>
            <sz val="9"/>
            <color indexed="81"/>
            <rFont val="Tahoma"/>
            <family val="2"/>
          </rPr>
          <t>Michal:</t>
        </r>
        <r>
          <rPr>
            <sz val="9"/>
            <color indexed="81"/>
            <rFont val="Tahoma"/>
            <family val="2"/>
          </rPr>
          <t xml:space="preserve">
החישוב הזה לא תמיד מדויק ב-100%,
כי אם העובד שינה את החלקיות בשנה האחרונה - בין 2021 ל-2022, צריך לחשב כל שנה לפי החלקיות שלה
השאלה מה אפשר לעשות? שיזינו חלקיות בשנה האחרונה בכול חודש? או שיזינו חלקיות ב-2021 וב-2022 ותחשבו כל שנה לפי החלקיות?
צריך גם שהמערכת תעדכן כל שנה את השנים (לדוגמה: עכשיו שיחושב על שנים 2023+2022, ובשנה הבאה יחושב על 2024 ו-2023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Esti</author>
    <author>Michal</author>
  </authors>
  <commentList>
    <comment ref="B117" authorId="0" shapeId="0" xr:uid="{00000000-0006-0000-0600-00000100000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ל-80%.</t>
        </r>
      </text>
    </comment>
    <comment ref="B118" authorId="0" shapeId="0" xr:uid="{00000000-0006-0000-0600-000002000000}">
      <text>
        <r>
          <rPr>
            <b/>
            <sz val="9"/>
            <color indexed="81"/>
            <rFont val="Tahoma"/>
            <family val="2"/>
          </rPr>
          <t>Esti:</t>
        </r>
        <r>
          <rPr>
            <sz val="9"/>
            <color indexed="81"/>
            <rFont val="Tahoma"/>
            <family val="2"/>
          </rPr>
          <t xml:space="preserve">
עובד מגיל 55 המבוטח בפנסיה תקציבית ונולד לפני 1966 יהיה זכאי ל-100% פיצוי. אחרת יהיה זכאי ל-90%.</t>
        </r>
      </text>
    </comment>
    <comment ref="G159" authorId="1" shapeId="0" xr:uid="{00000000-0006-0000-0600-000003000000}">
      <text>
        <r>
          <rPr>
            <b/>
            <sz val="9"/>
            <color indexed="81"/>
            <rFont val="Tahoma"/>
            <family val="2"/>
          </rPr>
          <t>Michal:</t>
        </r>
        <r>
          <rPr>
            <sz val="9"/>
            <color indexed="81"/>
            <rFont val="Tahoma"/>
            <family val="2"/>
          </rPr>
          <t xml:space="preserve">
החישוב הזה לא תמיד מדויק ב-100%,
כי אם העובד שינה את החלקיות בשנה האחרונה - בין 2021 ל-2022, צריך לחשב כל שנה לפי החלקיות שלה
השאלה מה אפשר לעשות? שיזינו חלקיות בשנה האחרונה בכול חודש? או שיזינו חלקיות ב-2021 וב-2022 ותחשבו כל שנה לפי החלקיות?
צריך גם שהמערכת תעדכן כל שנה את השנים (לדוגמה: עכשיו שיחושב על שנים 2023+2022, ובשנה הבאה יחושב על 2024 ו-2023</t>
        </r>
      </text>
    </comment>
  </commentList>
</comments>
</file>

<file path=xl/sharedStrings.xml><?xml version="1.0" encoding="utf-8"?>
<sst xmlns="http://schemas.openxmlformats.org/spreadsheetml/2006/main" count="1214" uniqueCount="661">
  <si>
    <t>במסך זה המשמתמש יצטרך רק לבחור אם העובד פורש בפנסיה תקציבית או בפנסיה צוברת</t>
  </si>
  <si>
    <t>יופיע 2 ריבועים:</t>
  </si>
  <si>
    <t>פנסיה תקציבית</t>
  </si>
  <si>
    <t>פנסיה צוברת</t>
  </si>
  <si>
    <t>נתונים כלליים</t>
  </si>
  <si>
    <t>_________</t>
  </si>
  <si>
    <t>פס להשלמה, כתיבה מילולית</t>
  </si>
  <si>
    <t>שם העובד</t>
  </si>
  <si>
    <t>מספר זהות</t>
  </si>
  <si>
    <t>שדה חובה</t>
  </si>
  <si>
    <t>ברירת מחדל</t>
  </si>
  <si>
    <t>כן</t>
  </si>
  <si>
    <t>לא</t>
  </si>
  <si>
    <t>אין</t>
  </si>
  <si>
    <t>דוגמה</t>
  </si>
  <si>
    <t>ישראל לוי</t>
  </si>
  <si>
    <t>סוג הפרישה</t>
  </si>
  <si>
    <t>בחירה מתוך רשימה נפתחת:
גיל פרישה
התפטרות
פיטורין
פרישה מטעמי בריאות
פטירה</t>
  </si>
  <si>
    <t>עם התחלת ההקלדה - יביא את האפשרות המתאימה</t>
  </si>
  <si>
    <t>גיל פרישה</t>
  </si>
  <si>
    <t>ביגוד</t>
  </si>
  <si>
    <t>כותרת ביגוד,
עם הלחיצה על ביגוד יפתחו מספר שאלות (ניתן יהיה לצמצם אח"כ שיראו רק את הכותרת ביגוד, ולא את כל השאלות)</t>
  </si>
  <si>
    <t>סוג התשובה</t>
  </si>
  <si>
    <t>מלל</t>
  </si>
  <si>
    <t>מלל - מספרים בלבד</t>
  </si>
  <si>
    <t>פס להשלמה, כתיבה של מספר זהות</t>
  </si>
  <si>
    <t>שם השאלה</t>
  </si>
  <si>
    <t>דוגמה לתצוגה</t>
  </si>
  <si>
    <t>בחירה מתוך רשימה נפתחת</t>
  </si>
  <si>
    <t>זכאות העובד לביגוד</t>
  </si>
  <si>
    <t>בחירה מתוך 2 קוביות:</t>
  </si>
  <si>
    <t>ביגוד למקבלי קהל / ביגוד לפועלים</t>
  </si>
  <si>
    <t>אם העובד בוחר ביגוד לפועלים (הכוונה שהוא מקבל בגדים בפועל - מכנסיים חולצה וכו', ולכן הוא לא זכאי לתשלום ביגוד),ולכן המשך השאלות לא רלוונטיות. אם בחרו ביגוד למקבלי קהל - יש להמשיך לשאלות מטה של הביגוד.</t>
  </si>
  <si>
    <t>הסבר מורחב עבורכן (מרים + יהודית)</t>
  </si>
  <si>
    <t>הערה למשתמש ("?")</t>
  </si>
  <si>
    <t>ביגוד לפועלים - נתינת ביגוד בפועל בהתאם להוראות (חולצות, מכנסיים, נעליים וכו').
ביגוד למקבלי קהל - תשלום ביגוד בתלוש השכר.</t>
  </si>
  <si>
    <t>ביגוד למקבלי קהל</t>
  </si>
  <si>
    <t>אופן תשלום הביגוד</t>
  </si>
  <si>
    <t>תשלום חודשי / תשלום שנתי</t>
  </si>
  <si>
    <t>ביגוד שנתי</t>
  </si>
  <si>
    <t>תזכורת: אם בחרו ביגוד לפועלים, השאלה לא תופיע
אם בחרו ביגוד למקבלי קהל - השאלה תופיע</t>
  </si>
  <si>
    <t>רמת הביגוד</t>
  </si>
  <si>
    <t>רמה 3 / רמה 4</t>
  </si>
  <si>
    <t>רמה 4</t>
  </si>
  <si>
    <t>חודש תשלום הביגוד</t>
  </si>
  <si>
    <t>כל החודשים: ינואר, פברואר, מרץ, אפרי, מאי, יוני, יולי, אוגוסט, ספטמבר, אוקטובר, נובמבר, דצמבר</t>
  </si>
  <si>
    <t>יולי</t>
  </si>
  <si>
    <t>1. השאלה רלוונטית רק אם בחרו ביגוד שנתי. אם בחרו ביגוד חודשי - השאלה לא רלוונטית.
2.התחלת הקלדת החודש תביא את החודש הרלוונטי
3. תזכורת: רלוונטי רק למקבלי קהל</t>
  </si>
  <si>
    <t>השנה עבורה משולם הביגוד</t>
  </si>
  <si>
    <t>שנה נוכחית, שנה קנדרית קודמת</t>
  </si>
  <si>
    <t>בדר"כ משלמים ברשויות המקומיות ביגוד בחודש יולי עבור שנת קודמת (ינואר עד דצמבר של שנה שעברה), יש רשויות שעושות זאת בצורה שונה</t>
  </si>
  <si>
    <t>שנה קלנדרית קודמת</t>
  </si>
  <si>
    <t>יש לבחור את השנה בגינה שולם הביגוד.
לדוגמה:
רשות שמשלמת ביגוד בחודש יולי בכול שנה עבור ינואר-דצמבר בשנה שקדמהלתשלום, יש לבחור: "שנה קלנדרית קודמת".</t>
  </si>
  <si>
    <t>הבראה</t>
  </si>
  <si>
    <t>כותרת הבראה,
עם הלחיצה על הבראה יפתחו מספר שאלות (ניתן יהיה לצמצם אח"כ שיראו רק את הכותרת הבראה, ולא את כל השאלות)</t>
  </si>
  <si>
    <t>אופן תשלום ההבראה</t>
  </si>
  <si>
    <t>שנתי</t>
  </si>
  <si>
    <t>מספר ימי הבראה לתשלום</t>
  </si>
  <si>
    <t>בין 8 ל-13 ימים</t>
  </si>
  <si>
    <t>הבראה משולמת בדר"כ אחת לשנה, לפי תעריף של יום הבראה (449 ש"ל כפול מספר ימי הבראה שהעובד זכאי להם, וכפול חלקיות משרתו),
מספר ימי ההבראה גדל בדר"כ בהתאם לשנות הוותק של העובד</t>
  </si>
  <si>
    <t>תאריך תחילה</t>
  </si>
  <si>
    <t>תאריך סיום</t>
  </si>
  <si>
    <t>סה"כ תקופת עבודה</t>
  </si>
  <si>
    <t>חלקיות משרה</t>
  </si>
  <si>
    <t>הערות לטבלה זו:</t>
  </si>
  <si>
    <t>המשתמש יצטרך להזין: תאריך תחילה, תאריך סיום וחלקיות משרה.</t>
  </si>
  <si>
    <t>סה"כ תקופת עבודה יחושב אוטומטית (תאריך סיום פחות תאריך התחלה).</t>
  </si>
  <si>
    <t>יש לאפשר להזין שורות רבות (יתווספו בהתאם לצורך, לתת אפשרות של 50 שורות)</t>
  </si>
  <si>
    <t xml:space="preserve"> יש להזין את תקופות העבודה של העובד ברשות, בהתאם לחלקיות משרתו</t>
  </si>
  <si>
    <t>תקופות עבודה</t>
  </si>
  <si>
    <t>חלקיות משרת העובד בשנת הפרישה - 2023:</t>
  </si>
  <si>
    <t>חלקיות משרת העובד בשנה שקדמה לפרישה - 2022:</t>
  </si>
  <si>
    <t>על המשתמש להזין אחוז, בין 0% ל-100%</t>
  </si>
  <si>
    <t>חישובים הנגזרים מהטבלה</t>
  </si>
  <si>
    <t>ראו חישובים מטה</t>
  </si>
  <si>
    <t>תאריך לידה</t>
  </si>
  <si>
    <t>מלל- תראיך</t>
  </si>
  <si>
    <t>תאריך פרישה צפוי</t>
  </si>
  <si>
    <t>מלל - תאריך</t>
  </si>
  <si>
    <t>תאריך נוכחי</t>
  </si>
  <si>
    <t>תאריך תחילת עבודה</t>
  </si>
  <si>
    <t>מצב משפחתי</t>
  </si>
  <si>
    <t>גבר, יש בת זוג
אשה, יש בן זוג
גבר ללא בת זוג
אשה ללא בן זוג</t>
  </si>
  <si>
    <t>סעיף זה רלוונטי רק בפנסיה תקציבית,
כי משפיע על ההיוון למי שזכאי למענק פרישה
לכן - בפנסיה צוברת, אין צורך בשאלה זו והיא לא תופיע</t>
  </si>
  <si>
    <t>כן - רק בפנסיה תקציבית</t>
  </si>
  <si>
    <t>גבר, יש בת זוג</t>
  </si>
  <si>
    <t>תאריך תחילה הראשון יהיה בהתאם לתאריך תחילת העבודה שהוזן במסך 2 - נתונים כלליים</t>
  </si>
  <si>
    <t>כל פעם שהזינו תאריך סיום, אם הוא לא תואם לתאריך הסיום (תאריך פרישה צפוי) שהוזן במסך 2 - נתונים כלליים, אז המשתמש יהיה חייב למלא עוד שורה, ותחילת השורה תופיע יום אחרי תאריך הסיום שהופיע בשורה קודמת.</t>
  </si>
  <si>
    <t>לדוגמה: בשורה הראשונה, הזנתי 31/12/1991, אז בשורה השניה יופיע אוטומטית בתאריך תחילה: 01/01/1992, וכן הלאה. עד שיזינו בתאריך סיום את תאריך הפרישה הצפוי</t>
  </si>
  <si>
    <t>תקופת עבודה מלאה בהתאם לחלקיות</t>
  </si>
  <si>
    <t>חישובים רלוונטיים:</t>
  </si>
  <si>
    <t>יחושבו כל תקופות העבודה בהם העובד לא עבד בכלל</t>
  </si>
  <si>
    <t>סה"כ תקופת עבודה ברשות</t>
  </si>
  <si>
    <t>להלן דוגמה לחישוב תקופת עבודה בפנסיה תקציבית בהתאם לדוגמה שלעיל</t>
  </si>
  <si>
    <t>סה"כ תקופת עבודה לפנסיה</t>
  </si>
  <si>
    <t>יש לסכום את שנות העבודה בהתאם העובד עבד מ-1/3 משרה ומעלה</t>
  </si>
  <si>
    <t>חל"ת - חופשה ללא תשלום</t>
  </si>
  <si>
    <t>סה"כ תקופת עבודה עבורה זכאי לפיצויים</t>
  </si>
  <si>
    <t>יש לסכום את תקופות העבודה בהן עבד פחות מ-1/3 משרה</t>
  </si>
  <si>
    <t>חלקיות משרה ממוצעת לפנסיה</t>
  </si>
  <si>
    <t>יש לחשב את חלקיות המשרה לפנסיה - בגין תקופות העבודה מ-1/3 משרה ומעלה</t>
  </si>
  <si>
    <t>שימו לב: בגלל שיש 10 ימים בחודש ינואר 2008 - הימים האלו לא נלקחו בחשבון לפנסיה התקציבית (בחודש לאחר מכן חושב חודש מלא)</t>
  </si>
  <si>
    <t>פנסיה תקציבית: חלקיות משרה של פחות מ - 33.33% לא תבוא בחשבון בחישוב שנות עבודה לקצבה (פנסיה תקציבית)</t>
  </si>
  <si>
    <t>פנסיה תקציבית: תקופת עבודה של פחות מ-15 ימים בחודש - לא תובא בחשבון לתקופת הזכאות לקצבה (פנסיה תקציבית)</t>
  </si>
  <si>
    <t>להלן דוגמה לחישוב תקופת עבודה בפנסיה צוברת בהתאם לדוגמה שלעיל</t>
  </si>
  <si>
    <t>חלקיות משרה ממוצעת</t>
  </si>
  <si>
    <t>על המשתמש להזין נתונים נוספים של סכומים ויתרות:</t>
  </si>
  <si>
    <t>משכורת קובעת</t>
  </si>
  <si>
    <t>10,150.28 ₪</t>
  </si>
  <si>
    <t>סכום, בש"ח</t>
  </si>
  <si>
    <t>יש להזין שכר פנסיוני עבור 100% משרה.
עובדים המבוטחים בפנסיה תקציבית וזכאים לדרגת פרישה - יש להזין שכר כולל דרגת פרישה.</t>
  </si>
  <si>
    <t>עם הזנת תאריך פרישה צפוי, יוצג למשתמש גיל העובד בפרישה: ויפורט הגיל שלו (תאריך פרישה צפוי חות תאריך לידה)</t>
  </si>
  <si>
    <t>אם בחרו פנסיה תקציבית, יופיע 2 ריבועים נוספים:</t>
  </si>
  <si>
    <t>הסכם קיבוצי</t>
  </si>
  <si>
    <t>הסכם קיבוצי ושכר בכירים</t>
  </si>
  <si>
    <t>אם בחרו הסכם קיבוצי + שכר בכירים (במסך הראשון) יצטרכו להזין 2 סכומים:
שכר בהסכם קיבוצי
שכר בכירים</t>
  </si>
  <si>
    <t>תאריך מעבר לשכר בכירים</t>
  </si>
  <si>
    <t>מועד המעבר לשכר בכירים משפיע על פדיון ימי מחלה</t>
  </si>
  <si>
    <t>רציפות זכויות</t>
  </si>
  <si>
    <t>כותרת רציפות זכויות,
עם הלחיצה על רציפות זכויות יפתחו מספר שאלות (ניתן יהיה לצמצם אח"כ שיראו רק את הכותרת רציפות זכויות, ולא את כל השאלות)</t>
  </si>
  <si>
    <t>סימון V או לא סימון</t>
  </si>
  <si>
    <t>אם העובד עבד במקום עבודה אחר וחתם על רציפות זכויות, הוא מקבל פנסיה ממקום העבודה האחרון (והמקום הקודם משלם למקום האחרון את חלקו בפנסיה).
אפשר לסמן V ואז יפתחו מספר שאלות, ואפשר פשוט לעבור לחלק הבא (רוב העובדים לא חתומים על הסכם רציפות זכויות)</t>
  </si>
  <si>
    <t>ללא V</t>
  </si>
  <si>
    <t>הבעלות החתומה על הסכם רציפות הזכויות</t>
  </si>
  <si>
    <t>בחירה מתוך 3 קוביות:</t>
  </si>
  <si>
    <t>יש חישובים שונים לקרנות הוותיקות ולצהל ולכן זה רלוונטי</t>
  </si>
  <si>
    <t>כן (במקרה בו סימנו V ברציפות זכויות)</t>
  </si>
  <si>
    <t>המדינה / רשות מקומית</t>
  </si>
  <si>
    <t>כן - רלוונטי רק אם בחרו בסוג העסקה במסך הראשון הסכם קיבוצי + שכר בכירים (פנסיה תקציבית)
אחרת - השאלה לא תופיע</t>
  </si>
  <si>
    <t>רלוונטי רק לעובדים בפנסיה תקציבית (השאלה לא תופיע בפנסיה צוברת).
לא שדה חובה
אם לא סימנו V - אפשר להתקדם הלאה, 
אם סימנו V - אז חובה לענות על השאלות שבסעיף זה</t>
  </si>
  <si>
    <t>יש להזין אחוז, עד 70%</t>
  </si>
  <si>
    <t>אם בחרו המדינה או רשות מקומית:
אחוז הקצבה ממקום העבודה הקודם:</t>
  </si>
  <si>
    <t>יש להזין סכום בש"ח</t>
  </si>
  <si>
    <t>אם בחרו קרנות ותיקות:
סכום הקצבה</t>
  </si>
  <si>
    <t>2. משכורת קובעת לקצבה בצה"ל:</t>
  </si>
  <si>
    <t>הסעיף רלוונטי רק למי שחתם על הסכם רציפות עם הקרנות הוותיקות</t>
  </si>
  <si>
    <t>הסעיף רלוונטי רק למי שחתם הסכם רציפות עם המדינה או שלטון מקומי
אחוז קצבה זה מתווסף לאחוז הקצבה לתשלום בגין תקופות העבודה ברשות</t>
  </si>
  <si>
    <t>אחוזי נכות</t>
  </si>
  <si>
    <t>הזנה של אחוז, בין 0% ל-100%</t>
  </si>
  <si>
    <t>השאלה רלוונטית רק לעובד שפורש מסיבות בריאותות
הוא מקבל תוספת אחוזים לקצבה בגין אחוזי נכות</t>
  </si>
  <si>
    <t>כן - השאלה תופיע רק אם פורש מסיבה בריאותית</t>
  </si>
  <si>
    <t>לא זכאי
חודש
חודשיים
3 חודשים</t>
  </si>
  <si>
    <t>סעיף זה יופיע רק בסוג פרישה של פיטורין</t>
  </si>
  <si>
    <t>חלף הודעה מוקדמת</t>
  </si>
  <si>
    <t>כן (רק בסוג פרישה של פיטורין, באחרים - השאלה לא תופיע)</t>
  </si>
  <si>
    <t>חודש</t>
  </si>
  <si>
    <t>מחלה</t>
  </si>
  <si>
    <t>כותרת: מחלה</t>
  </si>
  <si>
    <t>יתרת ימי מחלה בפרישה</t>
  </si>
  <si>
    <t>יש להזין מספרים</t>
  </si>
  <si>
    <t>אופן צבירת המחלה</t>
  </si>
  <si>
    <t>לבחור מתוך 2 קוביות</t>
  </si>
  <si>
    <t>צבירה מלאה / צבירה לפי חלקיות</t>
  </si>
  <si>
    <t>צבירה לפי חלקיות</t>
  </si>
  <si>
    <t>כותרת: חופשה</t>
  </si>
  <si>
    <t>יתרת ימי חופשה בפרישה</t>
  </si>
  <si>
    <t>יש להזין יתרה בימים ולא בשעות</t>
  </si>
  <si>
    <t>מספר ימי העסקה בשבוע</t>
  </si>
  <si>
    <t>לבחור מתוך 2 קוביות:
5 ימים בשבוע / 6 ימים בשבוע</t>
  </si>
  <si>
    <t>5 ימים בשבוע</t>
  </si>
  <si>
    <t>אופן צבירת החופשה</t>
  </si>
  <si>
    <t>צבירה מלאה</t>
  </si>
  <si>
    <t>להלן פירוט כלל הנתונים שיופיע בסימולציה, ופירוט אופן החישוב</t>
  </si>
  <si>
    <t>שם הרשות</t>
  </si>
  <si>
    <t>מתוך שם המשתמש שמפיק את הדוח</t>
  </si>
  <si>
    <t>כותרת</t>
  </si>
  <si>
    <t>אופן החישוב / המקור</t>
  </si>
  <si>
    <t>מתוך מסך 2</t>
  </si>
  <si>
    <t>גיל העובד בפרישה</t>
  </si>
  <si>
    <t>חישוב: תאריך פרישה צפוי פחות תאריך לידה</t>
  </si>
  <si>
    <t>שנות עבודה ברשות</t>
  </si>
  <si>
    <t>חישוב: תאריך פרישה צפוי פחות תאריך תחילת עבודה</t>
  </si>
  <si>
    <t>סוג הפנסיה</t>
  </si>
  <si>
    <t>תקציבית (מתוך מסך 1)</t>
  </si>
  <si>
    <t>סוג העסקה</t>
  </si>
  <si>
    <t>הסכם קיבוצי (מתוך מסך 1 או הסכם קיבוצי ושכר בכירים)</t>
  </si>
  <si>
    <t>יש או אין (יש אם סימנו V ואין - אם לא סימנו V - במסך 2)</t>
  </si>
  <si>
    <t>תקופת עבודה לפנסיה תקציבית</t>
  </si>
  <si>
    <t>חישוב תקופת עבודה לפנסיה תקציבית כפי שמופיע בחישובים במסך 3</t>
  </si>
  <si>
    <t>חישוב חלקיות המשרה בפנסיה תקציבית כפי שמופיע במסך 3</t>
  </si>
  <si>
    <t>לפרט את אחוז הנכות (מתוך מסך 2) או לכתוב: אין</t>
  </si>
  <si>
    <t>מתוך מסך 4</t>
  </si>
  <si>
    <t>יתרת ימי חופשה</t>
  </si>
  <si>
    <t>יתרת ימי מחלה</t>
  </si>
  <si>
    <t>משכורת קובעת למשרה מלאה - הסכם קיבוצי</t>
  </si>
  <si>
    <t>מתוך מסך 4 - יופיע רק במקרה שבחרו הסכם קיבוצי + שכר בכירים</t>
  </si>
  <si>
    <t>יופיעו תקופות העבודה כפי שהמשתמש הזין במסך 3, עם החישובים שלהלן:</t>
  </si>
  <si>
    <t>תשלומים בפרישה</t>
  </si>
  <si>
    <t>התשלומים האפשריים</t>
  </si>
  <si>
    <t>הודעה מוקמדת</t>
  </si>
  <si>
    <t>חופשה</t>
  </si>
  <si>
    <t>חישוב הקצבה</t>
  </si>
  <si>
    <t>מענק פרישה</t>
  </si>
  <si>
    <t>מענק שנים עודפות</t>
  </si>
  <si>
    <t>פיצויים</t>
  </si>
  <si>
    <t>יופיע הסכום כפי שהזינו במסך 4</t>
  </si>
  <si>
    <t>אחוז קצבה מלא</t>
  </si>
  <si>
    <t>חישוב לפי שנות עבודה כפול 2% לשנה</t>
  </si>
  <si>
    <t>אחוז קצבה מחושב:</t>
  </si>
  <si>
    <t>חישוב של אחוז קצבה מלא כפול חלקיות המשרה הממוצעת</t>
  </si>
  <si>
    <t xml:space="preserve">סכום הקצבה </t>
  </si>
  <si>
    <t>חישוב אחוז הקצבה כפול משכורת קובעת</t>
  </si>
  <si>
    <t>חישוב המשכורת הקובעת כפול 3.82%</t>
  </si>
  <si>
    <t>תוספת יוקר - 3.82%</t>
  </si>
  <si>
    <t>סה"כ סכום הקצבה המשוערת</t>
  </si>
  <si>
    <t>חישוב סכום הקצבה + תוספת יוקר</t>
  </si>
  <si>
    <t>אחוז הקצבה מוגבל ב-70%. אם יוצא גבוה יותר - להגביל ב-70%, אם פורש צה"ל (רציפות זכויות עם צה"ל וכוחות הביטחון) - אחוז הקצבה מוגבל ב-76%</t>
  </si>
  <si>
    <t>1. צהל וכוחות הביטחון
2. המדינה / רשות מקומיות
3. קרנות ותיקות</t>
  </si>
  <si>
    <t>אם בחרו צה"ל וכוחות הביטחון: (2 שאלות):
1. אחוז הקצבה ממקום העבודה הקודם:</t>
  </si>
  <si>
    <t>הסעיף רלוונטי רק למי שחתם על הסכם רציפות עם צה"ל וכוחות הביטחון</t>
  </si>
  <si>
    <t>אם העובד הועסק בהסכם קיבוצי + שכר בכירים</t>
  </si>
  <si>
    <t>הקצבה תחושב לו לפי 2 תקופות: עבור התקופה בהסכם קיבוצי - לפי שכר של הסכם קיבוצי ועבור התקופה של שכר בכירים - לפי שכר בכירים</t>
  </si>
  <si>
    <t>אם עבד מעל 35 שנים - מחשבים לטובתו - קודם השנים עבור שכר בכירים, ואח"כ עבור הסכם קיבוצי - ובלבד שלפחות 10 שנים יחושבו עבור הסכם קיבוצי</t>
  </si>
  <si>
    <t>לדוגמה:</t>
  </si>
  <si>
    <t>שכר בהסכם קיבוצי - 12,000</t>
  </si>
  <si>
    <t>שכר בכירים - 25,000</t>
  </si>
  <si>
    <t>העובד עבד 20 שנים בשכר הסכם קיבוצי במשרה מלאה ו-20 שנים בשכר בכירים במשרה מלאה.</t>
  </si>
  <si>
    <t>סה"כ עבד 40 שנים, יכול הה לצבור 80% לקצבה, הקצבה מוגבלת ב-70%</t>
  </si>
  <si>
    <t>לכן - 20 שנים יחושבו לפי שכר בכירים (40% לפי שכר של 25,000), ו-15 שנים לפי שכר של הסכם קיבוצי (2%*15 = 30% כפול שכר של הסכם קיבוצי - 12,000), סה"כ יוצא 35 שנים, 70% לקצבה.</t>
  </si>
  <si>
    <t>חישוב הקצבה יהיה:</t>
  </si>
  <si>
    <t>שכר קובע</t>
  </si>
  <si>
    <t>אחוז קצבה</t>
  </si>
  <si>
    <t>15*2%</t>
  </si>
  <si>
    <t>20*2%</t>
  </si>
  <si>
    <t>הסבר בשבליכן:</t>
  </si>
  <si>
    <t>משכורת קובעת - הסכם קיבוצי</t>
  </si>
  <si>
    <t>משכורת קובעת - שכר בכירים</t>
  </si>
  <si>
    <t>תקופת עבודה בהסכם קיבוצי</t>
  </si>
  <si>
    <t>תקופת עבודה בשכר בכירים</t>
  </si>
  <si>
    <t>חישוב: תאריך מעבר לשכר בכירים - במסך 2, פחות תאריך תחילת עבודה</t>
  </si>
  <si>
    <t>חישוב: תאריך צפי סיום העסקה פחות תאריך המעבר לשכר בכירים</t>
  </si>
  <si>
    <t>אחוז קצבה בהסכם קיבוצי</t>
  </si>
  <si>
    <t>אחוז קצבה בשכר בכירים</t>
  </si>
  <si>
    <t>חישוב תקופת העבודה בהסכם קיבוצי כפול חלקיות המשרה הממוצעת בתקופה זו</t>
  </si>
  <si>
    <t>חישוב תקופת העבודה בשכר בכירים כפול חלקיות המשרה הממוצעת בתקופה זו</t>
  </si>
  <si>
    <t>חישוב אחוז הקצבה כפול משכורת קובעת לכל תקופת עבודה</t>
  </si>
  <si>
    <r>
      <t xml:space="preserve">חישוב המשכורת הקובעת </t>
    </r>
    <r>
      <rPr>
        <b/>
        <sz val="11"/>
        <color theme="1"/>
        <rFont val="David"/>
        <family val="2"/>
      </rPr>
      <t>בהסכם קיבוצי בלבד</t>
    </r>
    <r>
      <rPr>
        <sz val="11"/>
        <color theme="1"/>
        <rFont val="David"/>
        <family val="2"/>
      </rPr>
      <t xml:space="preserve"> כפול 3.82%</t>
    </r>
  </si>
  <si>
    <t>אם בחרו חישוב פרישה של הסכם קיבוצי + שכר בכירים, על המשתמשים להזין 2 טבלאות של תקופות עבודה: טבלה אחת: תקופות עבודה בהסכם קיבוצי, התקופה הזו תיגמר עם תאריך המעבר לשכר בכירים, טבלה 2 - תקופות עבודה בשכר בכירים, תאריך ההתחלה יהיה תאריך המעבר לשכר בכירים
תאריך הסיום יהיה תאריך צפי סיום העסקה</t>
  </si>
  <si>
    <t>א - חישוב פדיון חופשה</t>
  </si>
  <si>
    <t>הגבלת ימים לפדיון:</t>
  </si>
  <si>
    <t>קיימת הגבלה של ימים לפדיון:</t>
  </si>
  <si>
    <t>מועסק 5 ימים בשבוע - הגבלה של 55 + צבירה חודשית של 1.83 ימים</t>
  </si>
  <si>
    <t>מועסק 6 ימים בשבוע - הגבלה של 65 + צבירה חודשת של 2.17 ימים</t>
  </si>
  <si>
    <t>לדוגמה: עובד הועסק 5 ימים בשבוע, פורש ב-28/02, ניתן לפדות לו: 55+1.83+1.83 = 58.66 ימים</t>
  </si>
  <si>
    <t>תצוגה בדוח</t>
  </si>
  <si>
    <t>אופן החישוב</t>
  </si>
  <si>
    <t>מספר ימי חופשה לפדיון</t>
  </si>
  <si>
    <t>אם יתרת ימי החופשה נמוכה מ-55 ימים +צבירה שנה נוכחית - אז ימי החופשה לפדיון יהיו שווים ליתרת ימי החופשה, אחרת- לפי ההגבלה האפשרית</t>
  </si>
  <si>
    <t>ערך יום</t>
  </si>
  <si>
    <t>אם מועסק 5 ימים בשבוע - משכורת קובעת לחלק ל-21.67
אם מועסק 6 ימים בשבוע - משכורת קובעת לחלק ל-26 ימים</t>
  </si>
  <si>
    <t>דוגמה לתצוגת החישוב</t>
  </si>
  <si>
    <t>סה"כ פדיון ימי חופשה</t>
  </si>
  <si>
    <t>אופן צבירת ימי החופשה</t>
  </si>
  <si>
    <t>צבירה מלאה/צבירה לפי חלקיות - מתוך מסך 4</t>
  </si>
  <si>
    <t>מספר ימים לפדיון כפול ערך יום
אם הצבירה היא מלאה, אז יש להכפיל בחלקיות משרה אחרונה</t>
  </si>
  <si>
    <t>צבירה מלאה  - ללא קשר לחלקיות / צבירה לפי חלקיות</t>
  </si>
  <si>
    <t>ב - פיצוי בגין ימי מחלה שלא נוצלו</t>
  </si>
  <si>
    <t>פיצוי בגין ימי מחלה שלא נוצלו מותנה במספר תנאים:</t>
  </si>
  <si>
    <t>ניצול של עד 65% מימי המחלה שהועמדו לרשות העובד</t>
  </si>
  <si>
    <t>עובד צובר בכל שנה 30 ימי מחלה (במשרה מלאה, במשרה חלקית הצבירה בהתאם),</t>
  </si>
  <si>
    <t>הכלל: עם העובד נצל עד 35% מימי המחלה הוא מקבל פיצוי ביחס של 8 ימים על כל 30 שביתרה</t>
  </si>
  <si>
    <t>אם העובד נצל מעל 35% ועד 65% - הוא מקבל פיצוי ביחס של 6 ימים על כל 30 שביתרה</t>
  </si>
  <si>
    <t>אם העובד נצל מעל 65% - אין פיצוי</t>
  </si>
  <si>
    <t>בהתייחס לכלל 2:</t>
  </si>
  <si>
    <t>פיצוי בגין ימי מחלה משולם לעובדים מגיל 50 ומעלה</t>
  </si>
  <si>
    <t>אחוזי פיצוי לפדיון מחלה</t>
  </si>
  <si>
    <t>גיל</t>
  </si>
  <si>
    <t>אחוז הפיצוי פנסיה תקציבית</t>
  </si>
  <si>
    <t>התצוגה בדוח והחישובים</t>
  </si>
  <si>
    <t>הסבר בשבילכן</t>
  </si>
  <si>
    <t>תצוגה בדוח - פיצוי בגין ימי מחלה שלא נוצלו</t>
  </si>
  <si>
    <t>זכאות גיל (מעל גיל 50) ושנות עבודה (מעל 10 שנים)</t>
  </si>
  <si>
    <t>מינימום 10 שנות עבודה, בפטירה - הגבלה של מינימום 3 שנות עבודה ובפרישה מטעמי בריאות - הגבלה של מינימום 5 שנות עבוה</t>
  </si>
  <si>
    <t>לפחות גיל 50 (בין גיל 50 לגיל 57 מקבלים חלק מהפיצוי, ראו להלן), בפטירה ובפרישה מטעמי בריאות - אין הגבלה של גיל</t>
  </si>
  <si>
    <t xml:space="preserve">במקרה של פטירה ופרישה מטעמי בריאות -אין בדיקה של גיל, במקרים האחרים - בדיקה האם הגיל (תאריך פרישה צפוי פחות תאריך לידה) גבוה מ-50
בדיקה של שנות עבודה - בדיקה האם יש 10 שנים או 5 או 3 - בהתאם לסוג הפרישה
</t>
  </si>
  <si>
    <t>זכאי / לא זכאי</t>
  </si>
  <si>
    <t>צבירת ימי מחלה</t>
  </si>
  <si>
    <t>שנות עבודה (כל השנים, כולל תקופות עבודה בהן הועסק פחות מ-1/3 משרה) * 30 ימים לשנה,
אם סמנו במסך 4 שהצבירה היא בהתאם לחלקיות - יש להכפיל גם בחלקיות הממוצעת של העובד בכול תקופת העבודה (לא רק תקופת העבודה לחישוב הצקבה בפנסיה תקציבית)</t>
  </si>
  <si>
    <t>דוגמה: עובד הועסק 31 שנים בחלקיות ממוצעת של 80%, צברו לו לפי החלקיות</t>
  </si>
  <si>
    <t>יתרת ימי המחלה</t>
  </si>
  <si>
    <t>לפי נתון במסך 4</t>
  </si>
  <si>
    <t>ימי מחלה שנוצלו</t>
  </si>
  <si>
    <t>חישוב: סה"כ צבירה פחות יתרת ימי המחלה</t>
  </si>
  <si>
    <t>אחוז ניצול</t>
  </si>
  <si>
    <t>חישוב: ימי מחלה שנוצלו מתוך סה"כ צבירה</t>
  </si>
  <si>
    <t>ימים לפיצוי לכל 30 ימי שביתרה</t>
  </si>
  <si>
    <t>חישוב:
אם אחוז הניצול הוא עד 35% - 8
אם אחוז הניצול הוא מעל 35% ועד 65% - 6
אם אחוז הניצול גבוה מ-65% - 0</t>
  </si>
  <si>
    <t>ימים לפדיון</t>
  </si>
  <si>
    <t>חישוב: יתרת ימי מחלה לחלק ל-30 כפול ימים לפיצוי לכל 30 ימים שביתרה (שורה קודמת)</t>
  </si>
  <si>
    <t>לצורך הדוגמה רשמתי מספר</t>
  </si>
  <si>
    <t>משכורת קובעת (מתוך מסך 4) + 1/12 הבראה + 1/12 ביגוד</t>
  </si>
  <si>
    <t>חישוב משכורת קובעת משורה קודמת לחלק ל-25</t>
  </si>
  <si>
    <t>משכורת קובעת (כולל הבראה וביגוד)</t>
  </si>
  <si>
    <t>אחוז פיצוי</t>
  </si>
  <si>
    <t>בדיקה בהתאם לגיל של העובד:
אם הפרישה מטעמי בריאות או בגלל פטירה - תמיד 100%
אחרת - בין גיל 50 לגיל 57 - לפי הטבלה שלעיל</t>
  </si>
  <si>
    <t>סכום לתשלום - פיצוי ביגן ימי מחלה שלא נוצלו</t>
  </si>
  <si>
    <t>חישוב: ערך יום לתשלום כפול מספר ימים לתשלום כפול אחוז פיצוי</t>
  </si>
  <si>
    <t>ג - מענק שנים עודפות</t>
  </si>
  <si>
    <t>רלוונטי רק לעובד בפנסיה תקציבית - שצבר מעל 70% לקצבה</t>
  </si>
  <si>
    <t>רלוונטי רק לעובד מעל גיל 60</t>
  </si>
  <si>
    <t>רקע - הסבר:</t>
  </si>
  <si>
    <t>בגלל שהקצבה מוגבלת ב-70% בלבד, עובדים שעבדו מעל 35 שנים והיו זכאים לכאורה לצבור מעל 70% קצבה, יקבלו "מענק שנים עודפות" עבור השנים שעבורם כביכול לא צוברים לקצבה</t>
  </si>
  <si>
    <t>סכום המענק: משכורת + 1/12 הבראה + 1/12 ביגוד * כמות השנים עבורם לא מקבל קצבה</t>
  </si>
  <si>
    <t>עובד הועסק 38 שנים, 100% משרה, משכורת אחרונה: 10,000 ₪.</t>
  </si>
  <si>
    <t xml:space="preserve">אחוז קצבה: </t>
  </si>
  <si>
    <t>38*2%</t>
  </si>
  <si>
    <t>הקצבה מוגבלת ב-70% ולכן העובד יקבל לפי 70%</t>
  </si>
  <si>
    <t>החישוב של מענק שנים עודפות יעשה כך:</t>
  </si>
  <si>
    <t>אחוז קצבה עודף</t>
  </si>
  <si>
    <t>שנים עודפות</t>
  </si>
  <si>
    <t>משכורת חישוב</t>
  </si>
  <si>
    <t>משכורת + 1/12 ביגוד + 1/12 הבראה</t>
  </si>
  <si>
    <t>סה"כ מענק שנים עודפות</t>
  </si>
  <si>
    <t>בשכר בכירים - החישוב יהיה לפי משכורת אחרונה, כלומר: שכר בכירים (+1/12 ביגוד + 1/12 הבראה)</t>
  </si>
  <si>
    <t>אם העובד חתם על הסכם רציפות זכויות</t>
  </si>
  <si>
    <t>אם ההסכם הוא עם המדינה או שלטון מקומי - אז החישוב יהיה תוספת של אחוזים לקצבה, והקצבה תחושב לפי אחוזים לפי שנות העבודה + אחוזים בגין רציפות זכויות (ראו להלן)</t>
  </si>
  <si>
    <t>אם ההסכם הוא עם הקרנות הוותיקות - החישוב שלהן שונה, ולכן רק נוסיף סכום לקצבה, ונראה שלא יוצא יותר מ-70% מהמשכורת הקובעת</t>
  </si>
  <si>
    <t>אם ההסכם הוא עם צה"ל - ההגבלה יכולה להיות עד 76% מהמשכורת הקובעת - הגבווה מ-2 המקומות (ממקום זה או מצה"ל).</t>
  </si>
  <si>
    <t>תוספת אחוזים לקצבה בגין רציפות זכויות</t>
  </si>
  <si>
    <t>להלן איך שצריך להופיע במקרה של רציפות עם המדינה/רשויות מקומיות</t>
  </si>
  <si>
    <t>לפי האחוז שהזינו במסך 2</t>
  </si>
  <si>
    <t>סה"כ אחוז הקצבה כולל רציפות זכויות</t>
  </si>
  <si>
    <t>חישוב: 2 השורות שמעל</t>
  </si>
  <si>
    <t>אם סה"כ יוצא מעל 70% - האחוז יוגבל ב-70%</t>
  </si>
  <si>
    <t>להלן איך שצריך להופיע במקרה של רציפות עם קרנות וותיקות</t>
  </si>
  <si>
    <t>השתתפות הקרנות הוותיקות - תוספת לקצבה</t>
  </si>
  <si>
    <t>לכתוב את הסכום כפי שהמשתמש הזין במסך 2</t>
  </si>
  <si>
    <t>חישוב סכום הקצבה + תוספת יוקר + השתתפות הקרנות הוותיקות</t>
  </si>
  <si>
    <t>אחוז הקצבה (ללא תוספת יוקר)</t>
  </si>
  <si>
    <t>חישוב של הקצבה + קצבה מקרנות וותיקות מתוך המשכורת</t>
  </si>
  <si>
    <t>במקרה זו אחוז הקצבה עלה על 70% ולכן זה יוגבל ב-70%</t>
  </si>
  <si>
    <t>סכום הקצבה המשוערת לאחר התאמה ל-70%</t>
  </si>
  <si>
    <t>חישוב של 70% מהמשכורת הקובעת *3.82%</t>
  </si>
  <si>
    <t>שורה זו תופיע רק במקרה בו שיעור הקצבה בסה"כ עלה על 70%</t>
  </si>
  <si>
    <t>משכורת קובעת - צה"ל וכוחות הביטחון</t>
  </si>
  <si>
    <t>אחוז קצבה - צה"ל ו/או כוחות הביטחון</t>
  </si>
  <si>
    <t>לכתוב את האחוז כפי שהזמינו במסך 2</t>
  </si>
  <si>
    <t>חישוב סכום הקצבה + תוספת יוקר + קצבה צה"ל</t>
  </si>
  <si>
    <t>קצבה משולמת מצה"ל ו/או כוחות הביטחון</t>
  </si>
  <si>
    <t>חישוב של סכום המשכורת הקובעת כפול אחוז הקצבה המשולם</t>
  </si>
  <si>
    <t>סה"כ סכום הקצבה המשוערת מכול מקומות העבודה</t>
  </si>
  <si>
    <t>חישוב של הקצבה + קצבה מצהל, מתוך המשכורת הקובעת הגבוהה</t>
  </si>
  <si>
    <t>בדוגמה זו - המשכורת בצה"ל גבוהה יותר מהמשכורת ברשות, ולכן מתוכה יבדקו אם העובד מקבל 76% או לא</t>
  </si>
  <si>
    <t>שורה זו תופיע רק במקרה שסך הקצבאות הייתה גבוהה יותר מ-76%</t>
  </si>
  <si>
    <t>ברציפות זכויות - צריך לבדוק שלא עובר את ה-70% עם אחוז הקצבה ממקום העבודה הקודם, אם עברו - אז גם הם זכאים למענק שנים עודפות</t>
  </si>
  <si>
    <t>מענק שנים עודפות - בדיקת זכאות אחוז קצבה וגיל</t>
  </si>
  <si>
    <t>בדיקה האם גיל העובד גדול מ-60 (גיל פרישה צפוי פחות תאריך לידה) והאם צבר מעל 70% לקצבה</t>
  </si>
  <si>
    <t>כמות שנים עודפות</t>
  </si>
  <si>
    <t>חישוב אחוז הקצבה המלא פחות 70% (בפורשי צה"ל - פחות 76%), ואז לחלק ל-2% - מביא את כמות השנים העודפות (המתאות, לאחר שקלול של חלקיות המשרה)</t>
  </si>
  <si>
    <t>משכורת קובעת ממסך 4 + 1/12 הבראה + 1/12 ביגוד</t>
  </si>
  <si>
    <t>חישוב עמות שנים עודפות כפול משכורת קובעת</t>
  </si>
  <si>
    <t>מענק פרישה משולם לעובד שמפטרים אותו כשהוא פחות מגיל 60, ובעצם המענק נותן לו סוג של פיצוי, שאם היה ממשיך לעבוד היה זכאי לקצבה גבוהה יותר</t>
  </si>
  <si>
    <t>המענק ישולם בתנאים שלהלן:</t>
  </si>
  <si>
    <t>גיל העובד - נמוך מגיל 60</t>
  </si>
  <si>
    <t>הפרישה - פיטורין בלבד</t>
  </si>
  <si>
    <t>סכום מענק הפרישה יהיה הנמוך מ-3 החלופות הבאות:</t>
  </si>
  <si>
    <t>הערה: ב-24 שנים זה בעצם משתווה לאופציה א'</t>
  </si>
  <si>
    <t>3. היוון</t>
  </si>
  <si>
    <t>היוון הכוונה - בדיקה מה היה קורה אם העובד היה ממשיך לעבוד עד גיל 60, מה הייתה הפנסיה שלו אז, לעומת הפנסיה היום, ואז מכפילים במקדם המרה, וזה סכום המענק</t>
  </si>
  <si>
    <t>אופן חישוב ההיוון:</t>
  </si>
  <si>
    <t>1. משכורת לשנה (משכורת הכוונה משכורת + 1/12 הבראה + 1/12 ביגוד) כפול חלקיות משרה ממוצעת</t>
  </si>
  <si>
    <t>2. חצי משכורת לכל שנת עבודה ועד 24 שנים (משכורת הכוונה משכורת + 1/12 הבראה + 1/12 ביגוד) כפול חלקיות משרה ממוצעת)</t>
  </si>
  <si>
    <t>רק בהיוון כתוב במפורש לפי חלקיות משרה ממוצעת</t>
  </si>
  <si>
    <t>משכורת קובעת בגיל 60</t>
  </si>
  <si>
    <t>מלל - סכום בלבד</t>
  </si>
  <si>
    <t>כן - רק בסוג פרישה של פיטוריו ובמקרה שגיל העובד נמוך מ-60</t>
  </si>
  <si>
    <t>לצורך חישוב היוון קצבה - מענק פרישה:
יש לערוך סימולציה לפי נתוני העובד, עם עדכון של שנות הוותק בלבד: סימולציה עם שנות הוותק המתאימות עם הגעתו גיל 60.
דוגמה:
עובד המפוטר בגיל 54, ושכרו מחושב לפי 25 שנות וותק לשכר.
יש לערוך סימולציה לשכר הקובע לגיל 60 - לפי אותם הנתונים עם חישוב וותק של 25 + 6 (60-54) = 31 שנים.</t>
  </si>
  <si>
    <t>משכורת קובעת לגיל 60</t>
  </si>
  <si>
    <t>אם העובד מפוטר בגיל 54, תקופות העבודה: 30 שנים בחלקיות של 80%, אחוז קצבה נוכחי: 30*2% * 80% = 48%</t>
  </si>
  <si>
    <t>קצבה צפויה בגיל 60</t>
  </si>
  <si>
    <t>הפרש קצבה</t>
  </si>
  <si>
    <t>קצבה צפויה בגיל 60 פחות קצבה נוכחית</t>
  </si>
  <si>
    <t>הפרש קצבה לפורש</t>
  </si>
  <si>
    <t xml:space="preserve">נשוי </t>
  </si>
  <si>
    <t>לא  נשואה</t>
  </si>
  <si>
    <t xml:space="preserve">       נשואה</t>
  </si>
  <si>
    <t>2</t>
  </si>
  <si>
    <t>3</t>
  </si>
  <si>
    <t>4</t>
  </si>
  <si>
    <t>.</t>
  </si>
  <si>
    <t>הפרש לשאר</t>
  </si>
  <si>
    <t>הפרש הקצבה של הפורש כפול 60%- רק אם יש בן או בת זוג</t>
  </si>
  <si>
    <t>סה"כ סכום ההיוון</t>
  </si>
  <si>
    <t>סה"כ הפרש לפורש + סה"כ הפרש לשאר</t>
  </si>
  <si>
    <t>גבר לא נשוי</t>
  </si>
  <si>
    <t>המקדמים</t>
  </si>
  <si>
    <t>אם גבר לא נשוי - ההפרש של הפורש כפול המקדם של גבר לא נשוי (1)</t>
  </si>
  <si>
    <t>אם הפורש הוא אישה לא נשואה - ההפרש של הפורש כפול המקדם של אישה לא נשואה (3)</t>
  </si>
  <si>
    <t>אם גבר נשוי - ההפרש של הפורש כפול המקדם של גבר לא נשוי (1) + ההפרש של האלמה - הפרש שאר, כפול המקדם של גבר נשוי (2)</t>
  </si>
  <si>
    <t>אם הפורש הוא אישה נשואה - הפרש של הפורש כפול המקדם של אישה לא נשואה (3) + הפרש של השאר כפול המקדם של אישה נשואה (4) לפי הגיל של האישה + 5 שנים</t>
  </si>
  <si>
    <t>דוגמה:</t>
  </si>
  <si>
    <t>אשה נושאה מפוטרת בגיל 49</t>
  </si>
  <si>
    <t>נחשב את הפרש הקצבה של האשה, נכפיל ב-12 ובמקדם: 7.11 (ראו טבלאות מקבלי גיל, טבלה 3 -אישה לא נשואה), ואת ההפרשה של השאר נחשב לפי טבלה 4, לפי גיל של 49+5 = 54: 0.675</t>
  </si>
  <si>
    <t>חישוב הקצבה בגיל 60</t>
  </si>
  <si>
    <t>חישוב אחוז הקצבה בגיל 60</t>
  </si>
  <si>
    <t>משכורת קובעת בגיל 60 כפול אחוז הקצבה בגיל 60</t>
  </si>
  <si>
    <t>לפי נתון שמוזן במסך 2 (סימולציה לשכר בגיל 60) + 1/12 הבראה + 1/12 ביגוד</t>
  </si>
  <si>
    <t>משכורת קובעת בגיל 60 (לפי מסך 2)  + 1/12 הבראה + 1/12 ביגוד כפול אחוז קצבה צפוי בגיל 60</t>
  </si>
  <si>
    <t>את הפרש הקצבה לפורש נכפיל ב-12 (יוצא הפרש לשנה) ונכפיל במקדם - לפי טבלאות המקדמים המופיעות בגיליון מקדמים וכמפורט להלן אופן ההכפלה</t>
  </si>
  <si>
    <t>את הפרש השאר נכפיל ב-12 ונכפיל במקדם</t>
  </si>
  <si>
    <t>דוגמה מספרית</t>
  </si>
  <si>
    <t>משכורת קובעת היום</t>
  </si>
  <si>
    <t>גיל בפיטורין</t>
  </si>
  <si>
    <t>חישוב אחוז קצבה נוכחי (לפי מסך 3) + 2% לשנה כפול השנים עד הגעתו לגיל 60 * חלקיות משרה ממוצעת, ומוגבל ב-70%</t>
  </si>
  <si>
    <t>נחשב את אחוז הקצבה המשוער לגיל 60: 48% + 6 (שנים שנותרו עד גיל 60) * 2% (לשנה) * 80% (חלקיות משרה ממוצע) = 57.6% (אם היה יוצא יותר מ-70% -היה צריך להגביל ב-70%)</t>
  </si>
  <si>
    <t>הבראה שנתית</t>
  </si>
  <si>
    <t>שנות עבודה</t>
  </si>
  <si>
    <t>קצבה נוכחית</t>
  </si>
  <si>
    <t>אחוז קצבה היום</t>
  </si>
  <si>
    <t>אחוז קצבה צפוי בגיל 60</t>
  </si>
  <si>
    <t>חלקיות משרה משוקללת</t>
  </si>
  <si>
    <t>נשוי</t>
  </si>
  <si>
    <t>הפרש קצבה לשאר</t>
  </si>
  <si>
    <t>מקדם גבר נשוי</t>
  </si>
  <si>
    <t>מקדם אלמנה</t>
  </si>
  <si>
    <t>הפרש מלא לפורש</t>
  </si>
  <si>
    <t>הפרש מלא לאלמנה</t>
  </si>
  <si>
    <t>אופציה 1 - משכורת לשנה</t>
  </si>
  <si>
    <t>אופציה 2 - חצי משכורת לשנה עד 24 שנים</t>
  </si>
  <si>
    <t>האופציה הנמוכה ביותר היא משכורת לשנה (או חצי משכורת ל-24 שנים) ולכן זה הסכום שישולם</t>
  </si>
  <si>
    <t>תצוגה בדוח - מענק פרישה</t>
  </si>
  <si>
    <t>מענק פרישה - בדיקת זכאות פיטורין וגיל</t>
  </si>
  <si>
    <t>בדיקה האם גיל העובד נמוך מ-60 (גיל פרישה צפוי פחות תאריך לידה) והאם פוטר</t>
  </si>
  <si>
    <t>אופציה א - משכורת לשנה</t>
  </si>
  <si>
    <t>אופציה ב' - חצי משכורת לשנת עבודה ועד מקסימום 24 שנים</t>
  </si>
  <si>
    <t>אופציה ג - היוון קצבה</t>
  </si>
  <si>
    <t>חישוב כנ"ל - לכתוב את התוצאה</t>
  </si>
  <si>
    <t>סה"כ סכום היוון קצבה - הנמוך מ-3 החלופות שלעיל</t>
  </si>
  <si>
    <t>לפרט את הסכום הנמוך מבין ה-3</t>
  </si>
  <si>
    <t>בקשה: אני לא צריכה שהמשתמשים יראו את כל החישובים הנ"ל, אבל אני כן רוצה לראות - שאצלי כן תהיה האופציה פתוחה לראות את החישובים (ובמקרה הצורך אצלם את המסך ואשלח אליהם)</t>
  </si>
  <si>
    <t>ד - מענק פרישה</t>
  </si>
  <si>
    <t>ה - חלף הודעה מוקדמת</t>
  </si>
  <si>
    <t>חלף הודעה מוקדמת משולם רק לעובד שפוטר ומשלמים לו חלף הודעה מוקדמת</t>
  </si>
  <si>
    <t>סכום התשלום - משכורת + 1/12 הבראה + 1/12 ביגוד כפול מספר החודשים להם הוא זכאי</t>
  </si>
  <si>
    <t>תצוגה בדוח - הודעה מוקדמת</t>
  </si>
  <si>
    <t>חודשי הודעה מוקדמת</t>
  </si>
  <si>
    <t>לפי נתון שהוזן במסך 2: חודש, חודשיים או שלש</t>
  </si>
  <si>
    <t>משכורת קובעת (כולל 1/12 הבראה וביגוד)</t>
  </si>
  <si>
    <t>משכורת קובעת - כפו שהוזן במסך 4 + 1/12 הבראה + 1/12 ביגוד</t>
  </si>
  <si>
    <t xml:space="preserve">סה"כ לתשלום </t>
  </si>
  <si>
    <t>משכורת קובעת לעיל כפול חודשי הודעה מוקדמת</t>
  </si>
  <si>
    <t>ו - ביגוד</t>
  </si>
  <si>
    <t>רקע: ביגוד משולם בדר"כ אחת לשנה בחודש יולי. יש רשויות שמשלמות את הביגוד באופן חודשי, ויש רשויות שמשלמות בחודש דצמבר (נדיר אבל אני רוצה להכניס אפשרות לכל החודשים), תעריף קצובת הביגוד מתעדכן בכול שנה בחודש יוני עפ"י שיעור עליית המדד</t>
  </si>
  <si>
    <t>כמו כן, יש עובדים שמקבלים ביגוד בפועל - כלומר: מקבלים בגדים ואינם זכאים לביגוד</t>
  </si>
  <si>
    <t>סכום הביגוד לשנת 2022</t>
  </si>
  <si>
    <t>צריך שתהיה לי אפשרות לעדכן את קצובת הביגוד כל שנה</t>
  </si>
  <si>
    <t>רמה 3</t>
  </si>
  <si>
    <t>נוסחאות וחישובים:</t>
  </si>
  <si>
    <t>אם העובד מקבל ביגוד באופן חודשי - אין צורך לשלם לו ביגוד, הוא מקבל כל חודש בגין אותו חודש עבודה ולכן לא זכאי להשלמה. אם מקבל ביגוד שנתי:</t>
  </si>
  <si>
    <r>
      <rPr>
        <b/>
        <sz val="11"/>
        <color theme="1"/>
        <rFont val="Calibri"/>
        <family val="2"/>
      </rPr>
      <t>פנסיה תקציבית</t>
    </r>
    <r>
      <rPr>
        <sz val="11"/>
        <color theme="1"/>
        <rFont val="Calibri"/>
        <family val="2"/>
      </rPr>
      <t xml:space="preserve"> - ביגוד ישולם באופן מלא (בהתאם לחלקיות המשרה), עבור שנה מלאה, גם אם פורש באמצע השנה.</t>
    </r>
  </si>
  <si>
    <t>ביגוד לשנת 2022</t>
  </si>
  <si>
    <t>בשנת הפרישה, הביגוד משולם מלא בהתאם לחלקיות המשרה</t>
  </si>
  <si>
    <t>אם חלקיות המשרה שלו בשנת הפרישה הייתה 80%, הוא יקבל 2237*80% וכו'</t>
  </si>
  <si>
    <t>הערה - ראו הערה</t>
  </si>
  <si>
    <t>למשרה מלאה, עובד במשרה חלקית יקבל בהתאם לחלקיות משרתו</t>
  </si>
  <si>
    <t>אם העובד הועסק בהסכם קיבוצי + שכר בכירים - פדיון ימי חופשה לפי שכר בכירים בלבד</t>
  </si>
  <si>
    <t>אם העובד הועסק בהסכם קיבוצי + שכר בכירים, יש 2 אופציות:</t>
  </si>
  <si>
    <t>מעבר להסכם בכירים (כותרת משנה בתוך "מחלה") - רלוונטי רק לעובדים שסומן עבורם שהועסקו בהסכם קיבוצי + שכר בכירים, עוד 2 שאלות:</t>
  </si>
  <si>
    <t>האם בחוזה העסקה נקבע כי פדיון ימי המחלה ישולם לפי משכורת אחרונה?</t>
  </si>
  <si>
    <t>כן / לא</t>
  </si>
  <si>
    <t>אם כן - אין צורך בשאלה הבאה, אם לא:</t>
  </si>
  <si>
    <t>יתרת ימי מחלה במועד המעבר לשכר בכירים</t>
  </si>
  <si>
    <t>יש לבדוק בחוזה העסקתו של העובד</t>
  </si>
  <si>
    <t>אופציה א' - בחוזה העסקה שלו אושר לו שכל הפיצוי יהיה לפי שכר בכירים - במקרה זה, חישוב פיצוי בגין ימי מחלה שלא נוצלו יהיה כנ"ל - לפי משכורת של שכר בכירים בלבד</t>
  </si>
  <si>
    <t>אופציה ב' - לא אושר לו שהכל יהיה לפי שכר בכירים, צריך לעשות פדיון לפי 2 תקופות:</t>
  </si>
  <si>
    <t>תקופה א' - לפי שכר של הסכם קיבוצי, תקופה ב' - לפי שכר בכירים</t>
  </si>
  <si>
    <t>תצוגה בדוח - פיצוי בגין ימי מחלה שלא נוצלו - הסכם קיבוצי + שכר בכירים</t>
  </si>
  <si>
    <t>צבירת ימי מחלה בהעסקה בהסכם קיבוצי</t>
  </si>
  <si>
    <t>חישוב: תאריך המעבר לשכר בכירים פחות תאריך תחילת עבודה, כפול 30 ימים לשנה, כפול חלקיות (אם סימנו כי הצבירה הייתה לפי חלקיות)</t>
  </si>
  <si>
    <t>צבירת ימי מחלה בשכר בכירים</t>
  </si>
  <si>
    <t>חישוב: תאריך סיום העסקה צפוי פחות תאריך המעבר לשכר בכירים, כפול 30 כפול חלקיות כנל</t>
  </si>
  <si>
    <t>סה"כ צבירת ימי מחלה</t>
  </si>
  <si>
    <t>חיבור של 2 הנ"ל</t>
  </si>
  <si>
    <t>יתרת ימי מחלה לפדיון - לפני המעבר לשכר בכירים</t>
  </si>
  <si>
    <t>לפי נתון ממסך 4</t>
  </si>
  <si>
    <t>ימים לפדיון - הסכם קיבוצי</t>
  </si>
  <si>
    <t>חישוב יתרת ימי מחלה לפני המעבר לשכר בכירים לחלק ל-30 כפול ימים לתשלום (6 או 8)</t>
  </si>
  <si>
    <t>ימים לפדיון - שכר בכירים</t>
  </si>
  <si>
    <t>)סה"כ יתרת ימי מחלה פחות יתרת ימי מחלה מהסכם קיבוצי) לחלק ל-30 וכפול ימים לתשלום (6 או 8)</t>
  </si>
  <si>
    <t>משכורת קובעת הסכם קיבוצי (כולל הבראה וביגוד)</t>
  </si>
  <si>
    <t>משכורת קובעת שכר בכירים (כולל הבראה וביגוד)</t>
  </si>
  <si>
    <t>ערך יום - הסכם קיבוצי</t>
  </si>
  <si>
    <t>משכורת קובעת כנ"ל לחלק ל-25</t>
  </si>
  <si>
    <t>סה"כ פיצוי בגין ימי מחלה בשכר הסכם קיבוצי</t>
  </si>
  <si>
    <t>ימים כפול ערך יום</t>
  </si>
  <si>
    <t>סה"כ פיצוי בגין ימי מחלה בשכר בכירים</t>
  </si>
  <si>
    <t>סה"כ פיצוי בגין ימי מחלה שלא נוצלו</t>
  </si>
  <si>
    <t>פיצוי הסכם קיבוצי + שכר בכירים</t>
  </si>
  <si>
    <t>תצוגה בדוח - מענק שנים עודפות</t>
  </si>
  <si>
    <t>תצוגה בדוח - ביגוד</t>
  </si>
  <si>
    <t>חלקיות המשרה בשנת 2023</t>
  </si>
  <si>
    <t>חלקיות המשרה בשנת 2022</t>
  </si>
  <si>
    <t>מתוך מסך 3</t>
  </si>
  <si>
    <t>קצובת הביגוד בגין שנת 2022</t>
  </si>
  <si>
    <t>חישוב: לבדוק האם שולם עבור שנה קודמת או לא
אם משולם באופן חודשי - אין השלמה
אם משולם באופן שנתי - תלוי באיזה חודש משולם ובאיזה חודש הפרישה.
לדוגמה: אם משולם בדר"כ בחודש ינואר עבור שנה קודמת
והעובד פורש בחודש יולי - אז עבור שנה קודמת כבר שולם (בחודש ינואר) ויש לשלם רק עבור שנה נוכחית
התשלום: לפי הרמה במסך 2, כפול חלקיות המשרה בשנה קודמת / נוכחית</t>
  </si>
  <si>
    <t>קצובת הביוד בגין שנת 2023</t>
  </si>
  <si>
    <t>השנים צריכות להתעדכן בכול שנה</t>
  </si>
  <si>
    <t>ז - הבראה</t>
  </si>
  <si>
    <t>ערך יום הבראה כפי שפורסם בשנת 2022: 449 ₪.</t>
  </si>
  <si>
    <t>תצוגה בדוח - הבראה</t>
  </si>
  <si>
    <t>קצובת ההבראה בגין שנת 2022</t>
  </si>
  <si>
    <t>חודש תשלום ההבראה</t>
  </si>
  <si>
    <t>1. השאלה רלוונטית רק אם בחרו הבראה שנתית. אם בחרו הבראה חודשית - השאלה לא רלוונטית.
2.התחלת הקלדת החודש תביא את החודש הרלוונטי</t>
  </si>
  <si>
    <t>אולי להוסיף עוד משהו - הערה לעובד? שהם יוכלו לכתוב מה שהם רוצים</t>
  </si>
  <si>
    <t>חישוב ההבראה שלהלן רק בגין שנה שלפני הפרישה, בשנת הפרישה - מקבל לפי חלקיות המשרה ואח"כ לפי אחוז הקצבה (אין צורך שנחשב, רק נרשום הערה)</t>
  </si>
  <si>
    <t>חישוב: לבדוק האם שולם עבור שנה קודמת או לא
אם משולם באופן חודשי - אין השלמה
אם משולם באופן שנתי - תלוי באיזה חודש משולם ובאיזה חודש הפרישה.
לדוגמה: אם משולם בדר"כ בחודש ינואר עבור שנה קודמת
והעובד פורש בחודש יולי - אז עבור שנה קודמת כבר שולם (בחודש ינואר) ויש לשלם רק עבור שנה נוכחית
התשלום: לפי מספר ימי הבראה לתשלום במסך 2, כפול חלקיות המשרה בשנה קודמת / נוכחית</t>
  </si>
  <si>
    <t>הוספת הערה לעובד:
הבראה בגין שנת הפרישה - 2023, תשולם בשנת 2024 בהתאם לחלקיות המשרה המשוקללת (חלקיות משרה בעבודה בפועל עד לחודש הפרישה, ולפי אחוז הקצבה ממועד הפרישה)</t>
  </si>
  <si>
    <t>ח - פיצויים</t>
  </si>
  <si>
    <t>עובד הזכאי לקצבה לא זכאי לפיצויים</t>
  </si>
  <si>
    <t>עם זאת, בגין חלקיות משרה נמוכה מ-1/3 אין זכאות לקצבה, ולכן יש זכאות לפיצויים</t>
  </si>
  <si>
    <t>תצוגה בדוח - פיצויים</t>
  </si>
  <si>
    <t>תקופת זכאות לפיצויים</t>
  </si>
  <si>
    <t>משכורת קובעת (כולל 1/12 הבראה + 1/12 ביגוד)</t>
  </si>
  <si>
    <t>משכורת קובעת ממסך 4 + הבראה וביגוד</t>
  </si>
  <si>
    <t>פיצויים לתשלום</t>
  </si>
  <si>
    <t>תקופת עבודה כפול משכורת</t>
  </si>
  <si>
    <t>מתוך מסך 3, חלקיות משרה משוקללת מחושבת עבור תקופת עבודה של פחות מ-1/3 משרה</t>
  </si>
  <si>
    <t>3 חודשי משכורת לשארים</t>
  </si>
  <si>
    <t>חישוב זה רלוונטי רק לעובד שנפטר במהלך השירות ויש לו שארים</t>
  </si>
  <si>
    <t>סכום לתשלום - 3 חודשי משכורת לשארים</t>
  </si>
  <si>
    <t>חישוב: המשכורת הקובעת כפול 3</t>
  </si>
  <si>
    <t>אם סך הקצבאות (מהצבא + מהרשות) גבוה מ-76%,עדיין תחשבו את הקצבה ברשות כרגיל (כאן זה לא אמור לעלות על 76% כי זה רק ביחד עולה על 76%),</t>
  </si>
  <si>
    <t>סוג הפנסיה שהשאלה רלוונטית אליה</t>
  </si>
  <si>
    <t>תקציבית + צוברת</t>
  </si>
  <si>
    <t>רק תקציבית, ורק במקרה של פיטורין</t>
  </si>
  <si>
    <t>רק תקציבית, ורק במקרה של שכר בהסכם קיבוצי + בכירים</t>
  </si>
  <si>
    <t>רק תקציבית</t>
  </si>
  <si>
    <t>מתוך המשכורת הקובעת, סך תוספות השכר הפנסיוניות שאינן מחושבות לפנסיה התקציבית</t>
  </si>
  <si>
    <t>יש תוספות ספציפיות מאוד, שנקבע שיפרישו עליהם לקופת גמל לקצבה ולא יקבלו עליהן פנסיה תקציבית (רלוונטי לפי איך שאני יודעת ל-2 קבוצות עובדים בלבד)</t>
  </si>
  <si>
    <t>אפס</t>
  </si>
  <si>
    <t>שימו לב - שאלה שהוספתי 23/03/2023</t>
  </si>
  <si>
    <t>משכורת קובעת למשרה מלאה - הסכם קיבוצי, שכר בכירים</t>
  </si>
  <si>
    <t>משכורת קובעת לפנסיה תקציבית למשרה מלאה</t>
  </si>
  <si>
    <t>מתוך מסך 4 - יופיע רק במקרה שהזינו במסך 4 סכום תוספת שכר פנסיוני שלא מחושבת לפנסיה התקציבית
החישוב: סך המשכורת הקובעת למשרה מלאה בניכוי תוספת שכר פנסיונית שלא מהווה בסיס לפנסיה התקציבית</t>
  </si>
  <si>
    <t>יש להזין תוספות שכר פנסיוניות ל-100% משרה, הכלולות בסכום המשכורת הקובעת הנ"ל, ושבהסכם הקיבוצי לתשלומן נקבע כי הן לא יהוו בסיס לפנסיה התקציבית ויש להפריש עבורן לקופת גמל לקצבה. לדוגמה: עובדים בוועדה לתכנון ובניה המקבלים תוספת רפורמה בסך 2,000 ₪, יש להזין סכום של 2,000 ₪ בשורה זו.</t>
  </si>
  <si>
    <t>יופיע הסכום כפי שהזינו במסך 4, בניכוי תוספת פנסיונית שלא מהווה בסיס לפנסיה</t>
  </si>
  <si>
    <t>חישוב אחוז הקצבה כפול משכורת קובעת שלעיל</t>
  </si>
  <si>
    <t>אחוז הפרשה לפיצויים</t>
  </si>
  <si>
    <t>אחוז, 6% או 8.33%</t>
  </si>
  <si>
    <t>יתרת פיצויים בקופה</t>
  </si>
  <si>
    <t>רלוונטי רק לעובדים שהופרש להם 8.33%</t>
  </si>
  <si>
    <t>יש להזין את יתרת הפיצויים בקופה, לפי טופס הכנה ל-161</t>
  </si>
  <si>
    <t>צוברת בלבד, ורק אם הזינו שיעור הפרשה של 8.33%</t>
  </si>
  <si>
    <t>לצורך חישוב השלמת פיצויים לעובד בפנסיה צוברת - בכול סוגי הפרישה חוץ מהתפטרות, צריך לדעת אם הפרישו לו 6% או 8.33%, ואם ההפרשה באה במקום הפיצויים או על חשבון</t>
  </si>
  <si>
    <t>צוברת בלבד, ורק אם הפרישה היא התפטרות, הגעה לגיל פרישה, פרישה מסיבה בריאותית או פטירה</t>
  </si>
  <si>
    <t>לפי משכורת קובעת מלאה, ללא ההפחתה במקרה שיש הפחתה של תוספת פנסיונית שלא מהווה בסיס לקצבה</t>
  </si>
  <si>
    <t>צוברת (מתוך מסך 1)</t>
  </si>
  <si>
    <t>משכורת קובעת למשרה מלאה</t>
  </si>
  <si>
    <t>מתוך מסך 2 - סוג הפרישה</t>
  </si>
  <si>
    <t>סיבת סיום העסקה</t>
  </si>
  <si>
    <t>מתוךמסך 2</t>
  </si>
  <si>
    <t>א - פיצויים</t>
  </si>
  <si>
    <t>ב - חישוב פדיון חופשה</t>
  </si>
  <si>
    <t>הסבר בשבילכן - כמו בפנסיה התקציבית, ללא הבדל</t>
  </si>
  <si>
    <t>ג - פיצוי בגין ימי מחלה שלא נוצלו</t>
  </si>
  <si>
    <t>בדיוק כמו פנסיה תקציבית, למעט: ערך יום החישוב הוא שכר + 1/12 הבראה ולא כולל גם 1/12 ביגוד</t>
  </si>
  <si>
    <t>משכורת קובעת (מתוך מסך 4) + 1/12 הבראה</t>
  </si>
  <si>
    <t>ד - חלף הודעה מוקדמת</t>
  </si>
  <si>
    <t>סכום התשלום - משכורת + 1/12 הבראה כפול מספר החודשים להם הוא זכאי (השוני מפנסיה תקציבית שלא לוקחים 1/12 ביגוד)</t>
  </si>
  <si>
    <t>משכורת קובעת (כולל 1/12 הבראה)</t>
  </si>
  <si>
    <t>משכורת קובעת - כפו שהוזן במסך 4 + 1/12 הבראה</t>
  </si>
  <si>
    <t>ה - ביגוד</t>
  </si>
  <si>
    <r>
      <rPr>
        <b/>
        <sz val="11"/>
        <color theme="1"/>
        <rFont val="Calibri"/>
        <family val="2"/>
      </rPr>
      <t>פנסיה צוברת</t>
    </r>
    <r>
      <rPr>
        <sz val="11"/>
        <color theme="1"/>
        <rFont val="Calibri"/>
        <family val="2"/>
      </rPr>
      <t xml:space="preserve"> - הביגוד משולם עד לתאריך הפרישה.</t>
    </r>
  </si>
  <si>
    <t>לדוגמה: רשות שמשלמת ביגוד בחודש יולי של כל שנה. עובד הועסק משרה מלאה, פורש בסוף פברואר 2023, פנסיה צוברת, ביגוד - ברמה 4, יקבל קצובת ביגוד:</t>
  </si>
  <si>
    <t>(עבד 100% משרה כל שנת 2022)</t>
  </si>
  <si>
    <t>ביגוד לשנת 2023</t>
  </si>
  <si>
    <t>בשנת הפרישה, עבור חודשיים שעבד בהם</t>
  </si>
  <si>
    <t>לדוגמה: רשות שמשלמת ביגוד בחודש יולי של כל שנה. עובד הועסק משרה מלאה, פורש בסוף פברואר 2023, פנסיה תקציבית, ביגוד - ברמה 4, יקבל קצובת ביגוד:</t>
  </si>
  <si>
    <t>השנה תעדכן אוטומטית לפי שנה נוכחית ושנה קודמת</t>
  </si>
  <si>
    <t>תשלום באופן חודשי - אין השלמה
תשלום שנתי - אם משולם עבור שנה קודמת - יש תשלום
אם משולם עבור שנה נוכחית - לבדוק אם כבר שולם השנה או לא</t>
  </si>
  <si>
    <t>רקע: הבראה משולמת בדר"כ אחת לשנה בחודש יוני. תעריף ליום הבראה מתעדכן בכול שנה לפי המדד (צריך שתהיה לי אפשרות לעדכן את התעריף).</t>
  </si>
  <si>
    <t>קצובת ההבראה בגין שנת 2022
וחישוב עבור שנת 2023</t>
  </si>
  <si>
    <t>חודשים לשאר</t>
  </si>
  <si>
    <t>עובד מפוטר או מתפטר בדין מפוטר, שלא הופרשו לו מלוא כספי הפיצויים יכול להיות זכאי להשלמת פיצויי פיטורין</t>
  </si>
  <si>
    <t>מתוך מסך 3, חלקיות משרה משוקללת</t>
  </si>
  <si>
    <t>זכאות להשלמת פיצויי פיטורין</t>
  </si>
  <si>
    <t>אם פוטר, או: הגיע לגיל פרישה, פרישה מטעמי בריאות או פטירה: זכאי, אם התפטר: לא זכאי</t>
  </si>
  <si>
    <t>זכאי</t>
  </si>
  <si>
    <t>יתרת הפיצויים בקופה - יתרת פיצויים למעסיק</t>
  </si>
  <si>
    <t>מתוך מסך 2 - רלוונטי רק לעובד שהופרש לו 8.33%</t>
  </si>
  <si>
    <t>אם הוא חתום על סעיף 14 לחוק פיצויי הפיטורין הוא לא זכאי להשלמה</t>
  </si>
  <si>
    <t>חתימה על סעיף 14 לחוק פיצויי הפיטורין</t>
  </si>
  <si>
    <t>השלמת הפיצויים</t>
  </si>
  <si>
    <t>תצוגה אם הפורש 6%:</t>
  </si>
  <si>
    <t>תצוגה אם הפורש 8.33%</t>
  </si>
  <si>
    <t>חישוב: 
משכורת קובעת * תקופת זכאות לפיצויים (בשנים) * חלקיות משרה משוקללת * 28%</t>
  </si>
  <si>
    <t>משכורת קובעת ממסך 4 + 1/12 הבראה</t>
  </si>
  <si>
    <t>חישוב: 
משכורת קובעת * תקופת זכאות לפיצויים (בשנים) * חלקיות משרה משוקללת פחות יתרת הפיצויים בקופה.
אם יוצא שלילי - אז אפס, אין השלמה</t>
  </si>
  <si>
    <t>תופיע הערה: יש להפחית את סכום הקצבה המשלמת לשארים מקופת הביטוח, ולהשלים את ההפרש לשארים במשך 3 חודשים</t>
  </si>
  <si>
    <t>להלן איך שצריך להופיע במקרה של רציפות עם צה"ל</t>
  </si>
  <si>
    <t>אבל צריך שתתווסף הערה: על העובד לעדכן את צה"ל / כוחות הביטחון שעליהם להפחית את הקצבה עד לתקרה של 76%.</t>
  </si>
  <si>
    <t>מענק פרישה לעובד בהסכם קיבוצי + שכר בכירים - צריך לחשב משכורת משוקללת</t>
  </si>
  <si>
    <t>במקרה בו העובד עבר לשכר בכירים והוא זכאי למענק פרישה, נחשב משכורת משוקללת: שכר בכירים + שכר לפי הסכם קיבוצי, ולפי זה יחושב מענק הפרישה.</t>
  </si>
  <si>
    <t>שקלול המשכורת - לפי תקופות עבודה בשכר בכירים ותקופת עבודה בדירוג ודרגה. לדוגמה:</t>
  </si>
  <si>
    <t>שכר בכירים</t>
  </si>
  <si>
    <t>סכום המשכורת הקובעת לחישוב (לצורך הדוגמה, יהיה ממתך הנתונים 2)</t>
  </si>
  <si>
    <t>משכורת משוקללת</t>
  </si>
  <si>
    <t>ראו את הנוסחה</t>
  </si>
  <si>
    <t>תצוגה בדוח - מענק פרישה במקרה של הסכם קיבוצי + שכר בכירים</t>
  </si>
  <si>
    <t>משכורת משוקללת: הסכם קיבוצי + שכר בכירים</t>
  </si>
  <si>
    <t>חישוב המשכורת הקובעת בהסכם קיבוצי כפול תקופת העבודה בהסכם קיבוצי מתוך סה"כ תקופת עבודה, ועוד משכורת קובעת בשכר בכירים * תקופת עבודה בשכר בכירים מתוך סה"כ תקופת עבודה</t>
  </si>
  <si>
    <t>בנוסף לטבלה, המשתמש יצטרך להזין 2 נתונים: חלקיות משרה בשנה נוכחית (2023) וחלקיות משרה בשנה קודמת (2022). בכול שנה השנה תעדכן בהתאם</t>
  </si>
  <si>
    <t>ריאקט ידאג לענין. יש לו כבר את הפרטים האלו.</t>
  </si>
  <si>
    <t>isBudgetPension</t>
  </si>
  <si>
    <t>isCollectiveAgrementOnly</t>
  </si>
  <si>
    <t>נתונים כלליים  General data</t>
  </si>
  <si>
    <t>english</t>
  </si>
  <si>
    <t>name</t>
  </si>
  <si>
    <t>id</t>
  </si>
  <si>
    <t>birthDate</t>
  </si>
  <si>
    <t>StartWorkDate</t>
  </si>
  <si>
    <t>RetirementDate</t>
  </si>
  <si>
    <t>reason</t>
  </si>
  <si>
    <t>advanceNotice</t>
  </si>
  <si>
    <t>סעיף זה רלוונטי רק בפיטורין, כאשר גיל העובד נמוך מגיל 60.
במקרה כזה - העובד זכאי למענק פרישה, ובשביל חישוב ההיוון יש לדעת מה סכום המשכורת שהעובד יהיה זכאי לה אם יעבוד עד גיל 60</t>
  </si>
  <si>
    <t>תקציבית+צוברת נכתב בריאקט</t>
  </si>
  <si>
    <t>IsClothingForAudienceMembers</t>
  </si>
  <si>
    <t>IsMonthlyClothingPayment</t>
  </si>
  <si>
    <t>IsThreeLevel</t>
  </si>
  <si>
    <t>MonthOfClothingPayment</t>
  </si>
  <si>
    <t>IsCurrentYear</t>
  </si>
  <si>
    <t>IsMonthlyRecoveryPayment</t>
  </si>
  <si>
    <t>numberOfDaysOfRecoveryToBePaid</t>
  </si>
  <si>
    <t>recoveryPaymentMonth</t>
  </si>
  <si>
    <t>Salary Determines At Age 60</t>
  </si>
  <si>
    <t>TransitionDateForSeniorSalaries</t>
  </si>
  <si>
    <t>SignedCopyrightContinuity</t>
  </si>
  <si>
    <t>ownership</t>
  </si>
  <si>
    <t>percentagePensionFromPreviousWorkplace</t>
  </si>
  <si>
    <t>SalaryDeterminesPensionInIDF</t>
  </si>
  <si>
    <t>AmountOfAllowance</t>
  </si>
  <si>
    <t>DisabilityPercentages</t>
  </si>
  <si>
    <t>familyStatus</t>
  </si>
  <si>
    <t>percentageProvisionForCompensation</t>
  </si>
  <si>
    <t>CompensationBalanceInTheCashRegister</t>
  </si>
  <si>
    <t>SigningTheSeveranceCompensationLaw</t>
  </si>
  <si>
    <t>DeterminedSalaryByCollectiveAgreement   SalaryDetermines</t>
  </si>
  <si>
    <t>SalaryIncreasesThatAreNotCalculated</t>
  </si>
  <si>
    <t>IsSickDayPaidAccordingToLastSalary</t>
  </si>
  <si>
    <t>RemainingSickDays</t>
  </si>
  <si>
    <t>IsFullAccrual</t>
  </si>
  <si>
    <t>RemainingSickDaysAtTheTimeOfTransitionToSeniorSalary</t>
  </si>
  <si>
    <t>RemainingVacationDaysInRetirement</t>
  </si>
  <si>
    <t>IsFiveBusinessDays</t>
  </si>
  <si>
    <t>IsAggregationByParts</t>
  </si>
  <si>
    <t>EmployeesAgeAtRetirement</t>
  </si>
  <si>
    <t>YearsOfWorkAtTheAuthority</t>
  </si>
  <si>
    <t>salaryDetermines</t>
  </si>
  <si>
    <t>total work period</t>
  </si>
  <si>
    <t>total work priods at the authorty</t>
  </si>
  <si>
    <t>full work period according to the pertiality</t>
  </si>
  <si>
    <t>total working period for retirement</t>
  </si>
  <si>
    <t>unpaid vacation</t>
  </si>
  <si>
    <t>working period for compensation</t>
  </si>
  <si>
    <t>AveragePartTimeJobForRetirement</t>
  </si>
  <si>
    <t>FullPensionPercentage</t>
  </si>
  <si>
    <t>AnnuityPercentageCalculated</t>
  </si>
  <si>
    <t>חישוב של אחוז קצבה מלא כפול חלקיות המשרה הממוצעת לפנסיה</t>
  </si>
  <si>
    <t>AllowanceAmount</t>
  </si>
  <si>
    <t>CostOfLivingAllowance</t>
  </si>
  <si>
    <t>TotalEstimatedAllowanceAmount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</si>
</sst>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0.000%"/>
    <numFmt numFmtId="165" formatCode="0.00_)"/>
    <numFmt numFmtId="166" formatCode="0.000_)"/>
    <numFmt numFmtId="167" formatCode="&quot;₪&quot;\ #,##0.00"/>
  </numFmts>
  <fonts count="25" x14ac:knownFonts="1">
    <font>
      <sz val="11"/>
      <color theme="1"/>
      <name val="Arial"/>
      <family val="2"/>
      <charset val="177"/>
      <scheme val="minor"/>
    </font>
    <font>
      <sz val="11"/>
      <color theme="1"/>
      <name val="David"/>
      <family val="2"/>
    </font>
    <font>
      <b/>
      <sz val="11"/>
      <color theme="1"/>
      <name val="David"/>
      <family val="2"/>
    </font>
    <font>
      <sz val="11"/>
      <color theme="1"/>
      <name val="Calibri"/>
      <family val="2"/>
    </font>
    <font>
      <sz val="11"/>
      <color theme="1"/>
      <name val="Arial"/>
      <family val="2"/>
      <charset val="177"/>
      <scheme val="minor"/>
    </font>
    <font>
      <b/>
      <u/>
      <sz val="11"/>
      <color theme="1"/>
      <name val="David"/>
      <family val="2"/>
    </font>
    <font>
      <u/>
      <sz val="11"/>
      <color theme="1"/>
      <name val="David"/>
      <family val="2"/>
    </font>
    <font>
      <sz val="9"/>
      <color indexed="81"/>
      <name val="Tahoma"/>
      <family val="2"/>
    </font>
    <font>
      <b/>
      <sz val="9"/>
      <color indexed="81"/>
      <name val="Tahoma"/>
      <family val="2"/>
    </font>
    <font>
      <b/>
      <u/>
      <sz val="11"/>
      <color theme="1"/>
      <name val="David"/>
      <family val="2"/>
      <charset val="177"/>
    </font>
    <font>
      <sz val="11"/>
      <color theme="1"/>
      <name val="David"/>
      <family val="2"/>
      <charset val="177"/>
    </font>
    <font>
      <sz val="10"/>
      <name val="Arial"/>
      <family val="2"/>
    </font>
    <font>
      <sz val="10"/>
      <name val="David"/>
      <family val="2"/>
      <charset val="177"/>
    </font>
    <font>
      <b/>
      <u/>
      <sz val="12"/>
      <name val="David"/>
      <family val="2"/>
      <charset val="177"/>
    </font>
    <font>
      <u/>
      <sz val="12"/>
      <name val="David"/>
      <family val="2"/>
      <charset val="177"/>
    </font>
    <font>
      <sz val="12"/>
      <name val="David"/>
      <family val="2"/>
      <charset val="177"/>
    </font>
    <font>
      <b/>
      <u/>
      <sz val="11"/>
      <color theme="1"/>
      <name val="Calibri"/>
      <family val="2"/>
    </font>
    <font>
      <b/>
      <sz val="11"/>
      <color theme="1"/>
      <name val="Calibri"/>
      <family val="2"/>
    </font>
    <font>
      <sz val="11"/>
      <color rgb="FFFF0000"/>
      <name val="Calibri"/>
      <family val="2"/>
    </font>
    <font>
      <sz val="11"/>
      <color rgb="FFFF0000"/>
      <name val="David"/>
      <family val="2"/>
    </font>
    <font>
      <sz val="11"/>
      <color rgb="FF006100"/>
      <name val="Arial"/>
      <family val="2"/>
      <charset val="177"/>
      <scheme val="minor"/>
    </font>
    <font>
      <sz val="11"/>
      <color rgb="FF9C0006"/>
      <name val="Arial"/>
      <family val="2"/>
      <charset val="177"/>
      <scheme val="minor"/>
    </font>
    <font>
      <sz val="11"/>
      <name val="Consolas"/>
      <family val="3"/>
    </font>
    <font>
      <sz val="11"/>
      <name val="Arial"/>
      <family val="2"/>
      <charset val="177"/>
      <scheme val="minor"/>
    </font>
    <font>
      <sz val="11"/>
      <name val="David"/>
      <family val="2"/>
    </font>
  </fonts>
  <fills count="14">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FFFF00"/>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CCCC"/>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s>
  <cellStyleXfs count="7">
    <xf numFmtId="0" fontId="0" fillId="0" borderId="0"/>
    <xf numFmtId="43" fontId="4" fillId="0" borderId="0" applyFont="0" applyFill="0" applyBorder="0" applyAlignment="0" applyProtection="0"/>
    <xf numFmtId="9" fontId="4" fillId="0" borderId="0" applyFont="0" applyFill="0" applyBorder="0" applyAlignment="0" applyProtection="0"/>
    <xf numFmtId="0" fontId="11" fillId="0" borderId="0"/>
    <xf numFmtId="0" fontId="4" fillId="9" borderId="2" applyNumberFormat="0" applyFont="0" applyAlignment="0" applyProtection="0"/>
    <xf numFmtId="0" fontId="20" fillId="10" borderId="0" applyNumberFormat="0" applyBorder="0" applyAlignment="0" applyProtection="0"/>
    <xf numFmtId="0" fontId="21" fillId="11" borderId="0" applyNumberFormat="0" applyBorder="0" applyAlignment="0" applyProtection="0"/>
  </cellStyleXfs>
  <cellXfs count="144">
    <xf numFmtId="0" fontId="0" fillId="0" borderId="0" xfId="0"/>
    <xf numFmtId="0" fontId="1" fillId="0" borderId="0" xfId="0" applyFont="1"/>
    <xf numFmtId="0" fontId="2" fillId="0" borderId="0" xfId="0" applyFont="1" applyAlignment="1">
      <alignment horizontal="center" vertical="center"/>
    </xf>
    <xf numFmtId="0" fontId="2" fillId="2" borderId="1" xfId="0" applyFont="1" applyFill="1" applyBorder="1" applyAlignment="1">
      <alignment horizontal="center" vertical="center"/>
    </xf>
    <xf numFmtId="0" fontId="1" fillId="0" borderId="0" xfId="0" applyFont="1" applyAlignment="1">
      <alignment wrapText="1"/>
    </xf>
    <xf numFmtId="0" fontId="2" fillId="0" borderId="1" xfId="0" applyFont="1" applyBorder="1" applyAlignment="1">
      <alignment horizontal="center" vertical="center"/>
    </xf>
    <xf numFmtId="0" fontId="1" fillId="0" borderId="1" xfId="0" applyFont="1" applyBorder="1"/>
    <xf numFmtId="0" fontId="1" fillId="0" borderId="1" xfId="0" applyFont="1" applyBorder="1" applyAlignment="1">
      <alignment wrapText="1"/>
    </xf>
    <xf numFmtId="0" fontId="2" fillId="0" borderId="1" xfId="0" applyFont="1" applyBorder="1" applyAlignment="1">
      <alignment horizontal="center" vertical="center" wrapText="1"/>
    </xf>
    <xf numFmtId="0" fontId="3" fillId="0" borderId="1" xfId="0" applyFont="1" applyFill="1" applyBorder="1" applyAlignment="1">
      <alignment wrapText="1"/>
    </xf>
    <xf numFmtId="0" fontId="3" fillId="0" borderId="0" xfId="0" applyFont="1" applyAlignment="1">
      <alignment wrapText="1"/>
    </xf>
    <xf numFmtId="0" fontId="2" fillId="0" borderId="1" xfId="0" applyFont="1" applyBorder="1"/>
    <xf numFmtId="0" fontId="2" fillId="0" borderId="1" xfId="0" applyFont="1" applyBorder="1" applyAlignment="1">
      <alignment wrapText="1"/>
    </xf>
    <xf numFmtId="0" fontId="1" fillId="0" borderId="1" xfId="0" applyFont="1" applyBorder="1" applyAlignment="1">
      <alignment horizontal="right" wrapText="1" readingOrder="2"/>
    </xf>
    <xf numFmtId="43" fontId="1" fillId="0" borderId="0" xfId="1" applyFont="1"/>
    <xf numFmtId="0" fontId="2" fillId="0" borderId="0" xfId="0" applyFont="1"/>
    <xf numFmtId="0" fontId="2" fillId="0" borderId="0" xfId="0" applyFont="1" applyAlignment="1">
      <alignment wrapText="1"/>
    </xf>
    <xf numFmtId="43" fontId="1" fillId="0" borderId="0" xfId="1" applyFont="1" applyAlignment="1">
      <alignment horizontal="center" vertical="center"/>
    </xf>
    <xf numFmtId="0" fontId="1" fillId="0" borderId="0" xfId="0" applyFont="1" applyAlignment="1">
      <alignment horizontal="center" vertical="center"/>
    </xf>
    <xf numFmtId="14" fontId="1" fillId="0" borderId="1" xfId="0" applyNumberFormat="1" applyFont="1" applyBorder="1" applyAlignment="1">
      <alignment horizontal="center" vertical="center"/>
    </xf>
    <xf numFmtId="9" fontId="1" fillId="0" borderId="1" xfId="0" applyNumberFormat="1" applyFont="1" applyBorder="1" applyAlignment="1">
      <alignment horizontal="center" vertical="center"/>
    </xf>
    <xf numFmtId="0" fontId="2" fillId="3" borderId="1" xfId="0" applyFont="1" applyFill="1" applyBorder="1" applyAlignment="1">
      <alignment horizontal="center" vertical="center" wrapText="1"/>
    </xf>
    <xf numFmtId="43" fontId="1" fillId="3" borderId="1" xfId="1" applyFont="1" applyFill="1" applyBorder="1" applyAlignment="1">
      <alignment horizontal="center" vertical="center"/>
    </xf>
    <xf numFmtId="0" fontId="2" fillId="0" borderId="0" xfId="0" applyFont="1" applyAlignment="1"/>
    <xf numFmtId="0" fontId="1" fillId="0" borderId="0" xfId="0" applyFont="1" applyAlignment="1">
      <alignment horizontal="right" vertical="center"/>
    </xf>
    <xf numFmtId="0" fontId="1" fillId="0" borderId="0" xfId="0" applyFont="1" applyAlignment="1">
      <alignment horizontal="right" readingOrder="2"/>
    </xf>
    <xf numFmtId="0" fontId="1" fillId="4" borderId="0" xfId="0" applyFont="1" applyFill="1"/>
    <xf numFmtId="14" fontId="1" fillId="0" borderId="1" xfId="0" applyNumberFormat="1" applyFont="1" applyBorder="1" applyAlignment="1">
      <alignment wrapText="1"/>
    </xf>
    <xf numFmtId="14" fontId="1" fillId="0" borderId="1" xfId="0" applyNumberFormat="1" applyFont="1" applyBorder="1"/>
    <xf numFmtId="43" fontId="1" fillId="0" borderId="0" xfId="0" applyNumberFormat="1" applyFont="1"/>
    <xf numFmtId="10" fontId="1" fillId="0" borderId="0" xfId="2" applyNumberFormat="1" applyFont="1"/>
    <xf numFmtId="0" fontId="5" fillId="0" borderId="0" xfId="0" applyFont="1"/>
    <xf numFmtId="0" fontId="5" fillId="4" borderId="0" xfId="0" applyFont="1" applyFill="1"/>
    <xf numFmtId="0" fontId="1" fillId="0" borderId="0" xfId="0" applyFont="1" applyFill="1"/>
    <xf numFmtId="43" fontId="1" fillId="0" borderId="0" xfId="2" applyNumberFormat="1" applyFont="1"/>
    <xf numFmtId="0" fontId="1" fillId="5" borderId="0" xfId="0" applyFont="1" applyFill="1"/>
    <xf numFmtId="0" fontId="5" fillId="5" borderId="0" xfId="0" applyFont="1" applyFill="1"/>
    <xf numFmtId="4" fontId="1" fillId="0" borderId="1" xfId="0" applyNumberFormat="1" applyFont="1" applyBorder="1" applyAlignment="1">
      <alignment horizontal="right" vertical="center" wrapText="1"/>
    </xf>
    <xf numFmtId="0" fontId="2" fillId="0" borderId="1" xfId="0" applyFont="1" applyBorder="1" applyAlignment="1">
      <alignment horizontal="right" wrapText="1" readingOrder="2"/>
    </xf>
    <xf numFmtId="9" fontId="1" fillId="0" borderId="0" xfId="0" applyNumberFormat="1" applyFont="1"/>
    <xf numFmtId="9" fontId="1" fillId="0" borderId="1" xfId="0" applyNumberFormat="1" applyFont="1" applyBorder="1"/>
    <xf numFmtId="9" fontId="2" fillId="0" borderId="1" xfId="0" applyNumberFormat="1" applyFont="1" applyBorder="1" applyAlignment="1">
      <alignment wrapText="1"/>
    </xf>
    <xf numFmtId="3" fontId="2" fillId="0" borderId="1" xfId="0" applyNumberFormat="1" applyFont="1" applyBorder="1" applyAlignment="1">
      <alignment wrapText="1"/>
    </xf>
    <xf numFmtId="9" fontId="1" fillId="0" borderId="1" xfId="0" applyNumberFormat="1" applyFont="1" applyBorder="1" applyAlignment="1">
      <alignment wrapText="1"/>
    </xf>
    <xf numFmtId="0" fontId="6" fillId="0" borderId="0" xfId="0" applyFont="1"/>
    <xf numFmtId="0" fontId="6" fillId="0" borderId="1" xfId="0" applyFont="1" applyBorder="1"/>
    <xf numFmtId="10" fontId="1" fillId="0" borderId="0" xfId="0" applyNumberFormat="1" applyFont="1"/>
    <xf numFmtId="43" fontId="1" fillId="0" borderId="1" xfId="1" applyFont="1" applyBorder="1"/>
    <xf numFmtId="43" fontId="1" fillId="0" borderId="1" xfId="0" applyNumberFormat="1" applyFont="1" applyBorder="1"/>
    <xf numFmtId="0" fontId="3" fillId="0" borderId="0" xfId="0" applyFont="1"/>
    <xf numFmtId="0" fontId="9" fillId="0" borderId="0" xfId="0" applyFont="1"/>
    <xf numFmtId="0" fontId="10" fillId="0" borderId="0" xfId="0" applyFont="1"/>
    <xf numFmtId="0" fontId="10" fillId="0" borderId="0" xfId="0" applyFont="1" applyAlignment="1">
      <alignment wrapText="1"/>
    </xf>
    <xf numFmtId="9" fontId="10" fillId="0" borderId="0" xfId="2" applyFont="1"/>
    <xf numFmtId="9" fontId="10" fillId="0" borderId="0" xfId="2" applyFont="1" applyFill="1"/>
    <xf numFmtId="10" fontId="1" fillId="0" borderId="1" xfId="2" applyNumberFormat="1" applyFont="1" applyBorder="1"/>
    <xf numFmtId="0" fontId="6" fillId="4" borderId="0" xfId="0" applyFont="1" applyFill="1"/>
    <xf numFmtId="0" fontId="2" fillId="4" borderId="0" xfId="0" applyFont="1" applyFill="1"/>
    <xf numFmtId="0" fontId="5" fillId="0" borderId="0" xfId="0" applyFont="1" applyFill="1"/>
    <xf numFmtId="9" fontId="3" fillId="0" borderId="0" xfId="0" applyNumberFormat="1" applyFont="1"/>
    <xf numFmtId="43" fontId="3" fillId="0" borderId="0" xfId="1" applyNumberFormat="1" applyFont="1"/>
    <xf numFmtId="43" fontId="3" fillId="0" borderId="0" xfId="1" applyFont="1"/>
    <xf numFmtId="0" fontId="1" fillId="0" borderId="0" xfId="0" applyFont="1" applyBorder="1"/>
    <xf numFmtId="0" fontId="2" fillId="0" borderId="0" xfId="0" applyFont="1" applyBorder="1"/>
    <xf numFmtId="9" fontId="1" fillId="0" borderId="0" xfId="2" applyFont="1"/>
    <xf numFmtId="164" fontId="1" fillId="0" borderId="0" xfId="2" applyNumberFormat="1" applyFont="1"/>
    <xf numFmtId="0" fontId="3" fillId="0" borderId="0" xfId="0" applyFont="1" applyFill="1"/>
    <xf numFmtId="0" fontId="12" fillId="0" borderId="0" xfId="3" applyFont="1" applyProtection="1"/>
    <xf numFmtId="0" fontId="13" fillId="0" borderId="0" xfId="3" applyFont="1" applyAlignment="1" applyProtection="1">
      <alignment horizontal="center"/>
    </xf>
    <xf numFmtId="165" fontId="14" fillId="0" borderId="0" xfId="3" applyNumberFormat="1" applyFont="1" applyAlignment="1" applyProtection="1">
      <alignment horizontal="center"/>
    </xf>
    <xf numFmtId="0" fontId="15" fillId="0" borderId="0" xfId="3" applyFont="1" applyAlignment="1" applyProtection="1">
      <alignment horizontal="center"/>
    </xf>
    <xf numFmtId="165" fontId="12" fillId="0" borderId="0" xfId="3" applyNumberFormat="1" applyFont="1" applyAlignment="1" applyProtection="1">
      <alignment horizontal="center"/>
    </xf>
    <xf numFmtId="166" fontId="12" fillId="0" borderId="0" xfId="3" applyNumberFormat="1" applyFont="1" applyAlignment="1" applyProtection="1">
      <alignment horizontal="center"/>
    </xf>
    <xf numFmtId="166" fontId="12" fillId="6" borderId="0" xfId="3" applyNumberFormat="1" applyFont="1" applyFill="1" applyAlignment="1" applyProtection="1">
      <alignment horizontal="center"/>
    </xf>
    <xf numFmtId="165" fontId="12" fillId="6" borderId="0" xfId="3" applyNumberFormat="1" applyFont="1" applyFill="1" applyAlignment="1" applyProtection="1">
      <alignment horizontal="center"/>
    </xf>
    <xf numFmtId="0" fontId="12" fillId="0" borderId="0" xfId="3" applyFont="1" applyAlignment="1" applyProtection="1">
      <alignment horizontal="center"/>
    </xf>
    <xf numFmtId="0" fontId="1" fillId="6" borderId="0" xfId="0" applyFont="1" applyFill="1"/>
    <xf numFmtId="166" fontId="12" fillId="0" borderId="0" xfId="3" applyNumberFormat="1" applyFont="1" applyAlignment="1" applyProtection="1">
      <alignment horizontal="right"/>
    </xf>
    <xf numFmtId="0" fontId="1" fillId="7" borderId="0" xfId="0" applyFont="1" applyFill="1"/>
    <xf numFmtId="0" fontId="16" fillId="0" borderId="0" xfId="0" applyFont="1"/>
    <xf numFmtId="0" fontId="3" fillId="0" borderId="0" xfId="0" applyFont="1" applyAlignment="1">
      <alignment horizontal="right"/>
    </xf>
    <xf numFmtId="0" fontId="18" fillId="0" borderId="0" xfId="0" applyFont="1"/>
    <xf numFmtId="0" fontId="17" fillId="0" borderId="0" xfId="0" applyFont="1"/>
    <xf numFmtId="43" fontId="1" fillId="0" borderId="0" xfId="0" applyNumberFormat="1" applyFont="1" applyBorder="1"/>
    <xf numFmtId="0" fontId="1" fillId="0" borderId="1" xfId="0" applyFont="1" applyBorder="1" applyAlignment="1">
      <alignment horizontal="right" wrapText="1"/>
    </xf>
    <xf numFmtId="0" fontId="2" fillId="4" borderId="0" xfId="0" applyFont="1" applyFill="1" applyAlignment="1">
      <alignment horizontal="right" readingOrder="2"/>
    </xf>
    <xf numFmtId="0" fontId="2" fillId="0" borderId="0" xfId="0" applyFont="1" applyFill="1" applyAlignment="1">
      <alignment horizontal="right" readingOrder="2"/>
    </xf>
    <xf numFmtId="0" fontId="1" fillId="0" borderId="1" xfId="0" applyFont="1" applyBorder="1" applyAlignment="1">
      <alignment horizontal="right" vertical="center" wrapText="1"/>
    </xf>
    <xf numFmtId="0" fontId="2" fillId="0" borderId="0" xfId="0" applyFont="1" applyAlignment="1">
      <alignment horizontal="right" vertical="center" wrapText="1"/>
    </xf>
    <xf numFmtId="0" fontId="1" fillId="0" borderId="0" xfId="0" applyFont="1" applyAlignment="1">
      <alignment horizontal="right" vertical="center" wrapText="1"/>
    </xf>
    <xf numFmtId="0" fontId="1" fillId="8" borderId="1" xfId="0" applyFont="1" applyFill="1" applyBorder="1" applyAlignment="1">
      <alignment wrapText="1"/>
    </xf>
    <xf numFmtId="4" fontId="1" fillId="8" borderId="1" xfId="0" applyNumberFormat="1" applyFont="1" applyFill="1" applyBorder="1" applyAlignment="1">
      <alignment horizontal="right" vertical="center" wrapText="1"/>
    </xf>
    <xf numFmtId="0" fontId="1" fillId="8" borderId="1" xfId="0" applyFont="1" applyFill="1" applyBorder="1"/>
    <xf numFmtId="0" fontId="1" fillId="8" borderId="1" xfId="0" applyFont="1" applyFill="1" applyBorder="1" applyAlignment="1">
      <alignment horizontal="right" vertical="center" wrapText="1"/>
    </xf>
    <xf numFmtId="0" fontId="1" fillId="8" borderId="0" xfId="0" applyFont="1" applyFill="1" applyAlignment="1">
      <alignment wrapText="1"/>
    </xf>
    <xf numFmtId="167" fontId="1" fillId="8" borderId="1" xfId="0" applyNumberFormat="1" applyFont="1" applyFill="1" applyBorder="1"/>
    <xf numFmtId="9" fontId="1" fillId="8" borderId="1" xfId="0" applyNumberFormat="1" applyFont="1" applyFill="1" applyBorder="1"/>
    <xf numFmtId="0" fontId="2" fillId="8" borderId="1" xfId="0" applyFont="1" applyFill="1" applyBorder="1" applyAlignment="1">
      <alignment horizontal="right" vertical="center" wrapText="1"/>
    </xf>
    <xf numFmtId="3" fontId="1" fillId="8" borderId="1" xfId="0" applyNumberFormat="1" applyFont="1" applyFill="1" applyBorder="1"/>
    <xf numFmtId="0" fontId="1" fillId="8" borderId="1" xfId="0" applyFont="1" applyFill="1" applyBorder="1" applyAlignment="1">
      <alignment horizontal="right" wrapText="1"/>
    </xf>
    <xf numFmtId="14" fontId="1" fillId="0" borderId="0" xfId="0" applyNumberFormat="1" applyFont="1"/>
    <xf numFmtId="0" fontId="19" fillId="0" borderId="0" xfId="0" applyFont="1"/>
    <xf numFmtId="0" fontId="1" fillId="0" borderId="1" xfId="0" applyFont="1" applyBorder="1" applyAlignment="1"/>
    <xf numFmtId="9" fontId="1" fillId="0" borderId="1" xfId="1" applyNumberFormat="1" applyFont="1" applyBorder="1"/>
    <xf numFmtId="3" fontId="1" fillId="0" borderId="1" xfId="0" applyNumberFormat="1" applyFont="1" applyBorder="1"/>
    <xf numFmtId="43" fontId="2" fillId="0" borderId="1" xfId="0" applyNumberFormat="1" applyFont="1" applyBorder="1"/>
    <xf numFmtId="0" fontId="2" fillId="0" borderId="0" xfId="0" applyFont="1" applyFill="1"/>
    <xf numFmtId="43" fontId="1" fillId="0" borderId="0" xfId="1" applyFont="1" applyFill="1"/>
    <xf numFmtId="14" fontId="1" fillId="0" borderId="0" xfId="0" applyNumberFormat="1" applyFont="1" applyFill="1"/>
    <xf numFmtId="43" fontId="1" fillId="0" borderId="0" xfId="0" applyNumberFormat="1" applyFont="1" applyFill="1"/>
    <xf numFmtId="0" fontId="1" fillId="0" borderId="0" xfId="0" applyFont="1" applyBorder="1" applyAlignment="1">
      <alignment wrapText="1"/>
    </xf>
    <xf numFmtId="4" fontId="1" fillId="0" borderId="1" xfId="0" applyNumberFormat="1" applyFont="1" applyBorder="1"/>
    <xf numFmtId="0" fontId="1" fillId="9" borderId="2" xfId="4" applyFont="1"/>
    <xf numFmtId="0" fontId="20" fillId="10" borderId="1" xfId="5" applyBorder="1"/>
    <xf numFmtId="0" fontId="21" fillId="11" borderId="2" xfId="6" applyBorder="1"/>
    <xf numFmtId="0" fontId="22" fillId="0" borderId="0" xfId="0" applyFont="1" applyAlignment="1">
      <alignment vertical="center"/>
    </xf>
    <xf numFmtId="0" fontId="21" fillId="11" borderId="1" xfId="6" applyBorder="1"/>
    <xf numFmtId="0" fontId="21" fillId="11" borderId="0" xfId="6"/>
    <xf numFmtId="0" fontId="1" fillId="12" borderId="1" xfId="0" applyFont="1" applyFill="1" applyBorder="1"/>
    <xf numFmtId="0" fontId="1" fillId="12" borderId="1" xfId="0" applyFont="1" applyFill="1" applyBorder="1" applyAlignment="1">
      <alignment horizontal="right" vertical="center" wrapText="1"/>
    </xf>
    <xf numFmtId="0" fontId="2" fillId="12" borderId="1" xfId="0" applyFont="1" applyFill="1" applyBorder="1" applyAlignment="1">
      <alignment wrapText="1"/>
    </xf>
    <xf numFmtId="0" fontId="2" fillId="12" borderId="1" xfId="0" applyFont="1" applyFill="1" applyBorder="1" applyAlignment="1">
      <alignment horizontal="right" wrapText="1" readingOrder="2"/>
    </xf>
    <xf numFmtId="0" fontId="1" fillId="8" borderId="4" xfId="0" applyFont="1" applyFill="1" applyBorder="1" applyAlignment="1">
      <alignment horizontal="center"/>
    </xf>
    <xf numFmtId="0" fontId="1" fillId="12" borderId="3" xfId="0" applyFont="1" applyFill="1" applyBorder="1" applyAlignment="1">
      <alignment horizontal="center"/>
    </xf>
    <xf numFmtId="0" fontId="1" fillId="0" borderId="1" xfId="0" applyFont="1" applyBorder="1" applyAlignment="1">
      <alignment horizontal="left"/>
    </xf>
    <xf numFmtId="0" fontId="1" fillId="12" borderId="1" xfId="0" applyFont="1" applyFill="1" applyBorder="1" applyAlignment="1">
      <alignment wrapText="1"/>
    </xf>
    <xf numFmtId="0" fontId="2" fillId="12" borderId="0" xfId="0" applyFont="1" applyFill="1" applyAlignment="1">
      <alignment wrapText="1"/>
    </xf>
    <xf numFmtId="0" fontId="1" fillId="12" borderId="0" xfId="0" applyFont="1" applyFill="1"/>
    <xf numFmtId="0" fontId="1" fillId="12" borderId="0" xfId="0" applyFont="1" applyFill="1" applyAlignment="1">
      <alignment wrapText="1"/>
    </xf>
    <xf numFmtId="0" fontId="2" fillId="0" borderId="0" xfId="0" applyFont="1" applyAlignment="1">
      <alignment horizontal="center" vertical="center"/>
    </xf>
    <xf numFmtId="0" fontId="1" fillId="8" borderId="0" xfId="0" applyFont="1" applyFill="1" applyAlignment="1">
      <alignment horizontal="center" vertical="center" wrapText="1"/>
    </xf>
    <xf numFmtId="0" fontId="20" fillId="10" borderId="0" xfId="5" applyAlignment="1">
      <alignment horizontal="center"/>
    </xf>
    <xf numFmtId="0" fontId="21" fillId="11" borderId="5" xfId="6" applyBorder="1"/>
    <xf numFmtId="0" fontId="1" fillId="9" borderId="1" xfId="4" applyFont="1" applyBorder="1" applyAlignment="1">
      <alignment wrapText="1"/>
    </xf>
    <xf numFmtId="0" fontId="21" fillId="11" borderId="0" xfId="6" applyBorder="1"/>
    <xf numFmtId="0" fontId="23" fillId="13" borderId="2" xfId="6" applyFont="1" applyFill="1" applyBorder="1"/>
    <xf numFmtId="0" fontId="23" fillId="13" borderId="0" xfId="6" applyFont="1" applyFill="1" applyBorder="1"/>
    <xf numFmtId="0" fontId="23" fillId="13" borderId="1" xfId="6" applyFont="1" applyFill="1" applyBorder="1"/>
    <xf numFmtId="43" fontId="1" fillId="0" borderId="1" xfId="2" applyNumberFormat="1" applyFont="1" applyBorder="1"/>
    <xf numFmtId="0" fontId="24" fillId="13" borderId="2" xfId="4" applyFont="1" applyFill="1"/>
    <xf numFmtId="0" fontId="1" fillId="13" borderId="1" xfId="0" applyFont="1" applyFill="1" applyBorder="1"/>
    <xf numFmtId="0" fontId="23" fillId="12" borderId="5" xfId="6" applyFont="1" applyFill="1" applyBorder="1"/>
    <xf numFmtId="0" fontId="23" fillId="12" borderId="1" xfId="6" applyFont="1" applyFill="1" applyBorder="1"/>
    <xf numFmtId="0" fontId="24" fillId="12" borderId="2" xfId="4" applyFont="1" applyFill="1"/>
  </cellXfs>
  <cellStyles count="7">
    <cellStyle name="Comma" xfId="1" builtinId="3"/>
    <cellStyle name="Normal" xfId="0" builtinId="0"/>
    <cellStyle name="Normal 2" xfId="3" xr:uid="{00000000-0005-0000-0000-000002000000}"/>
    <cellStyle name="Percent" xfId="2" builtinId="5"/>
    <cellStyle name="הערה" xfId="4" builtinId="10"/>
    <cellStyle name="טוב" xfId="5" builtinId="26"/>
    <cellStyle name="רע" xfId="6" builtinId="27"/>
  </cellStyles>
  <dxfs count="0"/>
  <tableStyles count="0" defaultTableStyle="TableStyleMedium2" defaultPivotStyle="PivotStyleLight16"/>
  <colors>
    <mruColors>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chal/Documents/&#1495;&#1493;&#1502;&#1512;%20&#1502;&#1511;&#1510;&#1493;&#1506;&#1497;%20&#1493;&#1492;&#1491;&#1512;&#1499;&#1493;&#1514;/&#1495;&#1493;&#1502;&#1512;%20&#1502;&#1511;&#1510;&#1493;&#1506;&#1497;%20&#1502;&#1505;&#1493;&#1491;&#1512;/&#1508;&#1512;&#1497;&#1513;&#1492;,%20&#1511;&#1510;&#1489;&#1488;&#1493;&#1514;%20&#1493;&#1490;&#1502;&#1500;&#1488;&#1493;&#1514;/&#1488;&#1511;&#1505;&#1500;%20&#1493;&#1491;&#1493;&#1495;%20&#1508;&#1512;&#1497;&#1513;&#1492;/&#1495;&#1497;&#1513;&#1493;&#1489;%20&#1508;&#1512;&#1497;&#1513;&#1492;%20&#1514;&#1511;&#1510;&#1497;&#1489;&#1497;&#1514;/&#1495;&#1497;&#1513;&#1493;&#1489;%20&#1508;&#1512;&#1497;&#1513;&#1492;%2002.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חישוב זכויות פנסיה תקציבית"/>
      <sheetName val="מסמך להדפסה"/>
      <sheetName val="תשלומי פרישה בפנסיה צוברת"/>
      <sheetName val="מקדמי גיל"/>
      <sheetName val="נתונים"/>
      <sheetName val="מסמכים נדרשים"/>
      <sheetName val="דוח הפקה ללקוח"/>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10"/>
  <sheetViews>
    <sheetView rightToLeft="1" workbookViewId="0">
      <selection activeCell="G6" sqref="G6"/>
    </sheetView>
  </sheetViews>
  <sheetFormatPr defaultColWidth="8.75" defaultRowHeight="15" x14ac:dyDescent="0.25"/>
  <cols>
    <col min="1" max="1" width="8.75" style="1"/>
    <col min="2" max="2" width="14.25" style="1" customWidth="1"/>
    <col min="3" max="3" width="18.375" style="1" bestFit="1" customWidth="1"/>
    <col min="4" max="16384" width="8.75" style="1"/>
  </cols>
  <sheetData>
    <row r="2" spans="2:6" x14ac:dyDescent="0.25">
      <c r="B2" s="1" t="s">
        <v>0</v>
      </c>
    </row>
    <row r="4" spans="2:6" x14ac:dyDescent="0.25">
      <c r="B4" s="1" t="s">
        <v>1</v>
      </c>
    </row>
    <row r="6" spans="2:6" x14ac:dyDescent="0.25">
      <c r="B6" s="3" t="s">
        <v>2</v>
      </c>
      <c r="C6" s="3" t="s">
        <v>3</v>
      </c>
      <c r="F6" s="115" t="s">
        <v>603</v>
      </c>
    </row>
    <row r="8" spans="2:6" x14ac:dyDescent="0.25">
      <c r="B8" s="1" t="s">
        <v>112</v>
      </c>
    </row>
    <row r="10" spans="2:6" x14ac:dyDescent="0.25">
      <c r="B10" s="3" t="s">
        <v>113</v>
      </c>
      <c r="C10" s="3" t="s">
        <v>114</v>
      </c>
      <c r="F10" s="1" t="s">
        <v>604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1"/>
  <sheetViews>
    <sheetView rightToLeft="1" workbookViewId="0">
      <pane xSplit="1" ySplit="3" topLeftCell="B13" activePane="bottomRight" state="frozen"/>
      <selection pane="topRight" activeCell="B1" sqref="B1"/>
      <selection pane="bottomLeft" activeCell="A4" sqref="A4"/>
      <selection pane="bottomRight" activeCell="C13" sqref="C13"/>
    </sheetView>
  </sheetViews>
  <sheetFormatPr defaultColWidth="8.75" defaultRowHeight="15" x14ac:dyDescent="0.25"/>
  <cols>
    <col min="1" max="1" width="21.75" style="89" customWidth="1"/>
    <col min="2" max="2" width="18.25" style="1" bestFit="1" customWidth="1"/>
    <col min="3" max="3" width="21.25" style="1" customWidth="1"/>
    <col min="4" max="4" width="12.25" style="4" customWidth="1"/>
    <col min="5" max="5" width="28.5" style="1" customWidth="1"/>
    <col min="6" max="6" width="34.875" style="1" customWidth="1"/>
    <col min="7" max="8" width="23" style="1" customWidth="1"/>
    <col min="9" max="9" width="15" style="1" customWidth="1"/>
    <col min="10" max="10" width="21.75" style="1" customWidth="1"/>
    <col min="12" max="12" width="9.125" style="1" bestFit="1" customWidth="1"/>
    <col min="13" max="16384" width="8.75" style="1"/>
  </cols>
  <sheetData>
    <row r="1" spans="1:10" x14ac:dyDescent="0.25">
      <c r="B1" s="117" t="s">
        <v>615</v>
      </c>
      <c r="C1" s="117"/>
    </row>
    <row r="2" spans="1:10" s="2" customFormat="1" x14ac:dyDescent="0.2">
      <c r="A2" s="88"/>
      <c r="B2" s="129" t="s">
        <v>605</v>
      </c>
      <c r="C2" s="129"/>
      <c r="D2" s="129"/>
      <c r="E2" s="129"/>
      <c r="F2" s="129"/>
      <c r="G2" s="129"/>
      <c r="H2" s="129"/>
      <c r="I2" s="129"/>
    </row>
    <row r="3" spans="1:10" s="2" customFormat="1" ht="30" x14ac:dyDescent="0.2">
      <c r="A3" s="8" t="s">
        <v>522</v>
      </c>
      <c r="B3" s="5" t="s">
        <v>26</v>
      </c>
      <c r="C3" s="5" t="s">
        <v>606</v>
      </c>
      <c r="D3" s="8" t="s">
        <v>22</v>
      </c>
      <c r="E3" s="5" t="s">
        <v>27</v>
      </c>
      <c r="F3" s="5" t="s">
        <v>33</v>
      </c>
      <c r="G3" s="5" t="s">
        <v>9</v>
      </c>
      <c r="H3" s="5" t="s">
        <v>10</v>
      </c>
      <c r="I3" s="5" t="s">
        <v>14</v>
      </c>
      <c r="J3" s="5" t="s">
        <v>34</v>
      </c>
    </row>
    <row r="4" spans="1:10" x14ac:dyDescent="0.25">
      <c r="A4" s="87" t="s">
        <v>523</v>
      </c>
      <c r="B4" s="116" t="s">
        <v>7</v>
      </c>
      <c r="C4" s="6" t="s">
        <v>607</v>
      </c>
      <c r="D4" s="7" t="s">
        <v>23</v>
      </c>
      <c r="E4" s="6" t="s">
        <v>5</v>
      </c>
      <c r="F4" s="6" t="s">
        <v>6</v>
      </c>
      <c r="G4" s="6" t="s">
        <v>11</v>
      </c>
      <c r="H4" s="6" t="s">
        <v>13</v>
      </c>
      <c r="I4" s="6" t="s">
        <v>15</v>
      </c>
      <c r="J4" s="6"/>
    </row>
    <row r="5" spans="1:10" ht="30" x14ac:dyDescent="0.25">
      <c r="A5" s="87" t="s">
        <v>523</v>
      </c>
      <c r="B5" s="116" t="s">
        <v>8</v>
      </c>
      <c r="C5" s="6" t="s">
        <v>608</v>
      </c>
      <c r="D5" s="7" t="s">
        <v>24</v>
      </c>
      <c r="E5" s="6" t="s">
        <v>5</v>
      </c>
      <c r="F5" s="6" t="s">
        <v>25</v>
      </c>
      <c r="G5" s="6" t="s">
        <v>12</v>
      </c>
      <c r="H5" s="6" t="s">
        <v>13</v>
      </c>
      <c r="I5" s="6">
        <v>304912405</v>
      </c>
      <c r="J5" s="6"/>
    </row>
    <row r="6" spans="1:10" x14ac:dyDescent="0.25">
      <c r="A6" s="87" t="s">
        <v>523</v>
      </c>
      <c r="B6" s="116" t="s">
        <v>75</v>
      </c>
      <c r="C6" s="6" t="s">
        <v>609</v>
      </c>
      <c r="D6" s="7" t="s">
        <v>76</v>
      </c>
      <c r="E6" s="27">
        <v>25569</v>
      </c>
      <c r="F6" s="6"/>
      <c r="G6" s="6" t="s">
        <v>11</v>
      </c>
      <c r="H6" s="6" t="s">
        <v>13</v>
      </c>
      <c r="I6" s="28">
        <v>25569</v>
      </c>
      <c r="J6" s="6"/>
    </row>
    <row r="7" spans="1:10" x14ac:dyDescent="0.25">
      <c r="A7" s="87" t="s">
        <v>523</v>
      </c>
      <c r="B7" s="116" t="s">
        <v>80</v>
      </c>
      <c r="C7" s="6" t="s">
        <v>610</v>
      </c>
      <c r="D7" s="7" t="s">
        <v>78</v>
      </c>
      <c r="E7" s="27">
        <v>34790</v>
      </c>
      <c r="F7" s="6"/>
      <c r="G7" s="6" t="s">
        <v>11</v>
      </c>
      <c r="H7" s="6" t="s">
        <v>13</v>
      </c>
      <c r="I7" s="28">
        <v>34790</v>
      </c>
      <c r="J7" s="6"/>
    </row>
    <row r="8" spans="1:10" ht="45" x14ac:dyDescent="0.25">
      <c r="A8" s="87" t="s">
        <v>523</v>
      </c>
      <c r="B8" s="116" t="s">
        <v>77</v>
      </c>
      <c r="C8" s="6" t="s">
        <v>611</v>
      </c>
      <c r="D8" s="7" t="s">
        <v>78</v>
      </c>
      <c r="E8" s="27">
        <v>45291</v>
      </c>
      <c r="F8" s="7" t="s">
        <v>111</v>
      </c>
      <c r="G8" s="6" t="s">
        <v>11</v>
      </c>
      <c r="H8" s="6" t="s">
        <v>79</v>
      </c>
      <c r="I8" s="28">
        <v>45291</v>
      </c>
      <c r="J8" s="6"/>
    </row>
    <row r="9" spans="1:10" ht="90" x14ac:dyDescent="0.25">
      <c r="A9" s="87" t="s">
        <v>523</v>
      </c>
      <c r="B9" s="116" t="s">
        <v>16</v>
      </c>
      <c r="C9" s="6" t="s">
        <v>612</v>
      </c>
      <c r="D9" s="7" t="s">
        <v>28</v>
      </c>
      <c r="E9" s="7" t="s">
        <v>17</v>
      </c>
      <c r="F9" s="6" t="s">
        <v>18</v>
      </c>
      <c r="G9" s="6" t="s">
        <v>11</v>
      </c>
      <c r="H9" s="6" t="s">
        <v>13</v>
      </c>
      <c r="I9" s="6" t="s">
        <v>19</v>
      </c>
      <c r="J9" s="6"/>
    </row>
    <row r="10" spans="1:10" ht="60" x14ac:dyDescent="0.25">
      <c r="A10" s="87" t="s">
        <v>523</v>
      </c>
      <c r="B10" s="116" t="s">
        <v>143</v>
      </c>
      <c r="C10" s="6" t="s">
        <v>613</v>
      </c>
      <c r="D10" s="7" t="s">
        <v>28</v>
      </c>
      <c r="E10" s="7" t="s">
        <v>141</v>
      </c>
      <c r="F10" s="6" t="s">
        <v>142</v>
      </c>
      <c r="G10" s="6" t="s">
        <v>144</v>
      </c>
      <c r="H10" s="6" t="s">
        <v>13</v>
      </c>
      <c r="I10" s="6" t="s">
        <v>145</v>
      </c>
      <c r="J10" s="6"/>
    </row>
    <row r="11" spans="1:10" ht="225" x14ac:dyDescent="0.25">
      <c r="A11" s="87" t="s">
        <v>524</v>
      </c>
      <c r="B11" s="118" t="s">
        <v>363</v>
      </c>
      <c r="C11" s="6" t="s">
        <v>624</v>
      </c>
      <c r="D11" s="7" t="s">
        <v>364</v>
      </c>
      <c r="E11" s="7">
        <v>12000</v>
      </c>
      <c r="F11" s="7" t="s">
        <v>614</v>
      </c>
      <c r="G11" s="6" t="s">
        <v>365</v>
      </c>
      <c r="H11" s="6" t="s">
        <v>13</v>
      </c>
      <c r="I11" s="6">
        <v>12000</v>
      </c>
      <c r="J11" s="7" t="s">
        <v>366</v>
      </c>
    </row>
    <row r="12" spans="1:10" ht="75" x14ac:dyDescent="0.25">
      <c r="A12" s="87" t="s">
        <v>525</v>
      </c>
      <c r="B12" s="119" t="s">
        <v>116</v>
      </c>
      <c r="C12" s="87" t="s">
        <v>625</v>
      </c>
      <c r="D12" s="7" t="s">
        <v>78</v>
      </c>
      <c r="E12" s="27">
        <v>42125</v>
      </c>
      <c r="F12" s="7" t="s">
        <v>117</v>
      </c>
      <c r="G12" s="7" t="s">
        <v>128</v>
      </c>
      <c r="H12" s="6" t="s">
        <v>13</v>
      </c>
      <c r="I12" s="28">
        <v>42125</v>
      </c>
      <c r="J12" s="6"/>
    </row>
    <row r="13" spans="1:10" ht="120" x14ac:dyDescent="0.25">
      <c r="A13" s="87" t="s">
        <v>526</v>
      </c>
      <c r="B13" s="118" t="s">
        <v>118</v>
      </c>
      <c r="C13" s="6" t="s">
        <v>626</v>
      </c>
      <c r="D13" s="7" t="s">
        <v>120</v>
      </c>
      <c r="E13" s="12" t="s">
        <v>119</v>
      </c>
      <c r="F13" s="7" t="s">
        <v>121</v>
      </c>
      <c r="G13" s="7" t="s">
        <v>129</v>
      </c>
      <c r="H13" s="6" t="s">
        <v>122</v>
      </c>
      <c r="I13" s="28"/>
      <c r="J13" s="6"/>
    </row>
    <row r="14" spans="1:10" ht="45" x14ac:dyDescent="0.25">
      <c r="A14" s="87" t="s">
        <v>526</v>
      </c>
      <c r="B14" s="118" t="s">
        <v>123</v>
      </c>
      <c r="C14" s="6" t="s">
        <v>627</v>
      </c>
      <c r="D14" s="7" t="s">
        <v>124</v>
      </c>
      <c r="E14" s="38" t="s">
        <v>207</v>
      </c>
      <c r="F14" s="7" t="s">
        <v>125</v>
      </c>
      <c r="G14" s="7" t="s">
        <v>126</v>
      </c>
      <c r="H14" s="6" t="s">
        <v>13</v>
      </c>
      <c r="I14" s="28" t="s">
        <v>127</v>
      </c>
      <c r="J14" s="6"/>
    </row>
    <row r="15" spans="1:10" ht="60" x14ac:dyDescent="0.25">
      <c r="A15" s="87" t="s">
        <v>526</v>
      </c>
      <c r="B15" s="120" t="s">
        <v>131</v>
      </c>
      <c r="C15" s="12" t="s">
        <v>628</v>
      </c>
      <c r="D15" s="7" t="s">
        <v>130</v>
      </c>
      <c r="E15" s="39">
        <v>0.5</v>
      </c>
      <c r="F15" s="7" t="s">
        <v>136</v>
      </c>
      <c r="G15" s="7" t="s">
        <v>11</v>
      </c>
      <c r="H15" s="6" t="s">
        <v>13</v>
      </c>
      <c r="I15" s="40">
        <v>0.5</v>
      </c>
      <c r="J15" s="6"/>
    </row>
    <row r="16" spans="1:10" ht="60" x14ac:dyDescent="0.25">
      <c r="A16" s="87" t="s">
        <v>526</v>
      </c>
      <c r="B16" s="120" t="s">
        <v>208</v>
      </c>
      <c r="C16" s="12" t="s">
        <v>628</v>
      </c>
      <c r="D16" s="7" t="s">
        <v>130</v>
      </c>
      <c r="E16" s="41">
        <v>0.4</v>
      </c>
      <c r="F16" s="7" t="s">
        <v>209</v>
      </c>
      <c r="G16" s="7" t="s">
        <v>11</v>
      </c>
      <c r="H16" s="6" t="s">
        <v>13</v>
      </c>
      <c r="I16" s="28"/>
      <c r="J16" s="6"/>
    </row>
    <row r="17" spans="1:12" ht="30" x14ac:dyDescent="0.25">
      <c r="A17" s="87" t="s">
        <v>526</v>
      </c>
      <c r="B17" s="121" t="s">
        <v>134</v>
      </c>
      <c r="C17" s="38" t="s">
        <v>629</v>
      </c>
      <c r="D17" s="7" t="s">
        <v>132</v>
      </c>
      <c r="E17" s="42">
        <v>20150</v>
      </c>
      <c r="F17" s="7" t="s">
        <v>209</v>
      </c>
      <c r="G17" s="7" t="s">
        <v>11</v>
      </c>
      <c r="H17" s="6" t="s">
        <v>13</v>
      </c>
      <c r="I17" s="28"/>
      <c r="J17" s="6"/>
    </row>
    <row r="18" spans="1:12" ht="30" x14ac:dyDescent="0.25">
      <c r="A18" s="87" t="s">
        <v>526</v>
      </c>
      <c r="B18" s="121" t="s">
        <v>133</v>
      </c>
      <c r="C18" s="38" t="s">
        <v>630</v>
      </c>
      <c r="D18" s="7" t="s">
        <v>132</v>
      </c>
      <c r="E18" s="42">
        <v>1500</v>
      </c>
      <c r="F18" s="7" t="s">
        <v>135</v>
      </c>
      <c r="G18" s="7"/>
      <c r="H18" s="6"/>
      <c r="I18" s="28"/>
      <c r="J18" s="6"/>
    </row>
    <row r="19" spans="1:12" ht="60" x14ac:dyDescent="0.25">
      <c r="A19" s="87" t="s">
        <v>526</v>
      </c>
      <c r="B19" s="118" t="s">
        <v>137</v>
      </c>
      <c r="C19" s="6" t="s">
        <v>631</v>
      </c>
      <c r="D19" s="7" t="s">
        <v>138</v>
      </c>
      <c r="E19" s="43">
        <v>0.8</v>
      </c>
      <c r="F19" s="7" t="s">
        <v>139</v>
      </c>
      <c r="G19" s="7" t="s">
        <v>140</v>
      </c>
      <c r="H19" s="6" t="s">
        <v>13</v>
      </c>
      <c r="I19" s="40">
        <v>0.8</v>
      </c>
      <c r="J19" s="6"/>
    </row>
    <row r="20" spans="1:12" ht="60" x14ac:dyDescent="0.25">
      <c r="A20" s="87" t="s">
        <v>526</v>
      </c>
      <c r="B20" s="118" t="s">
        <v>81</v>
      </c>
      <c r="C20" s="6" t="s">
        <v>632</v>
      </c>
      <c r="D20" s="7" t="s">
        <v>28</v>
      </c>
      <c r="E20" s="7" t="s">
        <v>82</v>
      </c>
      <c r="F20" s="7" t="s">
        <v>83</v>
      </c>
      <c r="G20" s="6" t="s">
        <v>84</v>
      </c>
      <c r="H20" s="6" t="s">
        <v>13</v>
      </c>
      <c r="I20" s="6" t="s">
        <v>85</v>
      </c>
      <c r="J20" s="6"/>
    </row>
    <row r="21" spans="1:12" ht="75" x14ac:dyDescent="0.25">
      <c r="A21" s="87" t="s">
        <v>523</v>
      </c>
      <c r="B21" s="116" t="s">
        <v>20</v>
      </c>
      <c r="C21" s="11"/>
      <c r="D21" s="12"/>
      <c r="E21" s="12" t="s">
        <v>21</v>
      </c>
      <c r="F21" s="6"/>
      <c r="G21" s="6"/>
      <c r="H21" s="6"/>
      <c r="I21" s="6"/>
      <c r="J21" s="6"/>
    </row>
    <row r="22" spans="1:12" ht="90" x14ac:dyDescent="0.25">
      <c r="A22" s="87" t="s">
        <v>523</v>
      </c>
      <c r="B22" s="116" t="s">
        <v>29</v>
      </c>
      <c r="C22" s="6" t="s">
        <v>616</v>
      </c>
      <c r="D22" s="7" t="s">
        <v>30</v>
      </c>
      <c r="E22" s="6" t="s">
        <v>31</v>
      </c>
      <c r="F22" s="9" t="s">
        <v>32</v>
      </c>
      <c r="G22" s="6" t="s">
        <v>11</v>
      </c>
      <c r="H22" s="6" t="s">
        <v>13</v>
      </c>
      <c r="I22" s="6" t="s">
        <v>36</v>
      </c>
      <c r="J22" s="10" t="s">
        <v>35</v>
      </c>
    </row>
    <row r="23" spans="1:12" ht="45" x14ac:dyDescent="0.25">
      <c r="A23" s="87" t="s">
        <v>523</v>
      </c>
      <c r="B23" s="116" t="s">
        <v>37</v>
      </c>
      <c r="C23" s="6" t="s">
        <v>617</v>
      </c>
      <c r="D23" s="7" t="s">
        <v>30</v>
      </c>
      <c r="E23" s="6" t="s">
        <v>38</v>
      </c>
      <c r="F23" s="7" t="s">
        <v>40</v>
      </c>
      <c r="G23" s="6" t="s">
        <v>11</v>
      </c>
      <c r="H23" s="6" t="s">
        <v>13</v>
      </c>
      <c r="I23" s="6" t="s">
        <v>39</v>
      </c>
      <c r="J23" s="6"/>
    </row>
    <row r="24" spans="1:12" ht="45" x14ac:dyDescent="0.25">
      <c r="A24" s="87" t="s">
        <v>523</v>
      </c>
      <c r="B24" s="116" t="s">
        <v>41</v>
      </c>
      <c r="C24" s="6" t="s">
        <v>618</v>
      </c>
      <c r="D24" s="7" t="s">
        <v>30</v>
      </c>
      <c r="E24" s="6" t="s">
        <v>42</v>
      </c>
      <c r="F24" s="7" t="s">
        <v>40</v>
      </c>
      <c r="G24" s="6" t="s">
        <v>11</v>
      </c>
      <c r="H24" s="6" t="s">
        <v>13</v>
      </c>
      <c r="I24" s="6" t="s">
        <v>43</v>
      </c>
      <c r="J24" s="6"/>
    </row>
    <row r="25" spans="1:12" ht="75" x14ac:dyDescent="0.25">
      <c r="A25" s="87" t="s">
        <v>523</v>
      </c>
      <c r="B25" s="116" t="s">
        <v>44</v>
      </c>
      <c r="C25" s="6" t="s">
        <v>619</v>
      </c>
      <c r="D25" s="7" t="s">
        <v>28</v>
      </c>
      <c r="E25" s="7" t="s">
        <v>45</v>
      </c>
      <c r="F25" s="13" t="s">
        <v>47</v>
      </c>
      <c r="G25" s="6" t="s">
        <v>11</v>
      </c>
      <c r="H25" s="6" t="s">
        <v>46</v>
      </c>
      <c r="I25" s="6" t="s">
        <v>46</v>
      </c>
      <c r="J25" s="6"/>
    </row>
    <row r="26" spans="1:12" ht="120" x14ac:dyDescent="0.25">
      <c r="A26" s="87" t="s">
        <v>523</v>
      </c>
      <c r="B26" s="116" t="s">
        <v>48</v>
      </c>
      <c r="C26" s="6" t="s">
        <v>620</v>
      </c>
      <c r="D26" s="7" t="s">
        <v>30</v>
      </c>
      <c r="E26" s="6" t="s">
        <v>49</v>
      </c>
      <c r="F26" s="7" t="s">
        <v>50</v>
      </c>
      <c r="G26" s="6" t="s">
        <v>11</v>
      </c>
      <c r="H26" s="6" t="s">
        <v>51</v>
      </c>
      <c r="I26" s="6" t="s">
        <v>51</v>
      </c>
      <c r="J26" s="7" t="s">
        <v>52</v>
      </c>
    </row>
    <row r="27" spans="1:12" ht="75" x14ac:dyDescent="0.25">
      <c r="A27" s="87" t="s">
        <v>523</v>
      </c>
      <c r="B27" s="116" t="s">
        <v>53</v>
      </c>
      <c r="C27" s="11"/>
      <c r="D27" s="12"/>
      <c r="E27" s="12" t="s">
        <v>54</v>
      </c>
      <c r="F27" s="6"/>
      <c r="G27" s="6"/>
      <c r="H27" s="6"/>
      <c r="I27" s="6"/>
      <c r="J27" s="6"/>
    </row>
    <row r="28" spans="1:12" ht="30" x14ac:dyDescent="0.25">
      <c r="A28" s="87" t="s">
        <v>523</v>
      </c>
      <c r="B28" s="116" t="s">
        <v>55</v>
      </c>
      <c r="C28" s="6" t="s">
        <v>621</v>
      </c>
      <c r="D28" s="7" t="s">
        <v>30</v>
      </c>
      <c r="E28" s="6" t="s">
        <v>38</v>
      </c>
      <c r="F28" s="6"/>
      <c r="G28" s="6" t="s">
        <v>11</v>
      </c>
      <c r="H28" s="6" t="s">
        <v>13</v>
      </c>
      <c r="I28" s="6" t="s">
        <v>56</v>
      </c>
      <c r="J28" s="6"/>
    </row>
    <row r="29" spans="1:12" ht="75" x14ac:dyDescent="0.25">
      <c r="A29" s="87" t="s">
        <v>523</v>
      </c>
      <c r="B29" s="116" t="s">
        <v>57</v>
      </c>
      <c r="C29" s="6" t="s">
        <v>622</v>
      </c>
      <c r="D29" s="7" t="s">
        <v>28</v>
      </c>
      <c r="E29" s="6" t="s">
        <v>58</v>
      </c>
      <c r="F29" s="7" t="s">
        <v>59</v>
      </c>
      <c r="G29" s="6"/>
      <c r="H29" s="6"/>
      <c r="I29" s="6"/>
      <c r="J29" s="6"/>
    </row>
    <row r="30" spans="1:12" ht="75" x14ac:dyDescent="0.25">
      <c r="A30" s="87" t="s">
        <v>523</v>
      </c>
      <c r="B30" s="116" t="s">
        <v>501</v>
      </c>
      <c r="C30" s="6" t="s">
        <v>623</v>
      </c>
      <c r="D30" s="7" t="s">
        <v>28</v>
      </c>
      <c r="E30" s="7" t="s">
        <v>45</v>
      </c>
      <c r="F30" s="13" t="s">
        <v>502</v>
      </c>
      <c r="G30" s="6" t="s">
        <v>11</v>
      </c>
      <c r="H30" s="6" t="s">
        <v>46</v>
      </c>
      <c r="I30" s="6" t="s">
        <v>46</v>
      </c>
      <c r="J30" s="6"/>
    </row>
    <row r="31" spans="1:12" ht="60" x14ac:dyDescent="0.25">
      <c r="A31" s="97" t="s">
        <v>544</v>
      </c>
      <c r="B31" s="118" t="s">
        <v>537</v>
      </c>
      <c r="C31" s="92" t="s">
        <v>633</v>
      </c>
      <c r="D31" s="90" t="s">
        <v>538</v>
      </c>
      <c r="E31" s="96">
        <v>0.06</v>
      </c>
      <c r="F31" s="90" t="s">
        <v>543</v>
      </c>
      <c r="G31" s="92" t="s">
        <v>11</v>
      </c>
      <c r="H31" s="96">
        <v>0.06</v>
      </c>
      <c r="I31" s="96">
        <v>0.06</v>
      </c>
      <c r="J31" s="92"/>
      <c r="L31" s="100">
        <v>45008</v>
      </c>
    </row>
    <row r="32" spans="1:12" ht="30" x14ac:dyDescent="0.25">
      <c r="A32" s="97" t="s">
        <v>542</v>
      </c>
      <c r="B32" s="118" t="s">
        <v>539</v>
      </c>
      <c r="C32" s="92" t="s">
        <v>634</v>
      </c>
      <c r="D32" s="90" t="s">
        <v>109</v>
      </c>
      <c r="E32" s="98">
        <v>200000</v>
      </c>
      <c r="F32" s="92" t="s">
        <v>540</v>
      </c>
      <c r="G32" s="92" t="s">
        <v>11</v>
      </c>
      <c r="H32" s="92" t="s">
        <v>13</v>
      </c>
      <c r="I32" s="98">
        <v>200000</v>
      </c>
      <c r="J32" s="99" t="s">
        <v>541</v>
      </c>
      <c r="L32" s="100">
        <v>45008</v>
      </c>
    </row>
    <row r="33" spans="1:10" ht="30" x14ac:dyDescent="0.25">
      <c r="A33" s="97" t="s">
        <v>542</v>
      </c>
      <c r="B33" s="123" t="s">
        <v>581</v>
      </c>
      <c r="C33" s="122" t="s">
        <v>635</v>
      </c>
      <c r="D33" s="90" t="s">
        <v>459</v>
      </c>
      <c r="E33" s="92" t="s">
        <v>11</v>
      </c>
      <c r="F33" s="92" t="s">
        <v>580</v>
      </c>
      <c r="G33" s="92" t="s">
        <v>11</v>
      </c>
      <c r="H33" s="92" t="s">
        <v>13</v>
      </c>
      <c r="I33" s="92" t="s">
        <v>11</v>
      </c>
      <c r="J33" s="92"/>
    </row>
    <row r="34" spans="1:10" x14ac:dyDescent="0.25">
      <c r="A34" s="1"/>
      <c r="D34" s="1"/>
    </row>
    <row r="35" spans="1:10" x14ac:dyDescent="0.25">
      <c r="A35" s="1"/>
      <c r="D35" s="1"/>
    </row>
    <row r="36" spans="1:10" x14ac:dyDescent="0.25">
      <c r="A36" s="1"/>
      <c r="D36" s="1"/>
    </row>
    <row r="37" spans="1:10" x14ac:dyDescent="0.25">
      <c r="A37" s="1"/>
      <c r="D37" s="1"/>
    </row>
    <row r="38" spans="1:10" x14ac:dyDescent="0.25">
      <c r="A38" s="1"/>
      <c r="D38" s="1"/>
    </row>
    <row r="39" spans="1:10" x14ac:dyDescent="0.25">
      <c r="A39" s="1"/>
      <c r="D39" s="1"/>
    </row>
    <row r="40" spans="1:10" x14ac:dyDescent="0.25">
      <c r="A40" s="1"/>
      <c r="D40" s="1"/>
    </row>
    <row r="41" spans="1:10" x14ac:dyDescent="0.25">
      <c r="A41" s="1"/>
      <c r="D41" s="1"/>
    </row>
  </sheetData>
  <mergeCells count="1">
    <mergeCell ref="B2:I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53"/>
  <sheetViews>
    <sheetView rightToLeft="1" topLeftCell="A7" workbookViewId="0">
      <selection activeCell="B19" sqref="B19:F20"/>
    </sheetView>
  </sheetViews>
  <sheetFormatPr defaultColWidth="8.75" defaultRowHeight="15" x14ac:dyDescent="0.25"/>
  <cols>
    <col min="1" max="1" width="8.75" style="1"/>
    <col min="2" max="2" width="14.25" style="1" customWidth="1"/>
    <col min="3" max="3" width="9.5" style="1" customWidth="1"/>
    <col min="4" max="4" width="11.25" style="1" customWidth="1"/>
    <col min="5" max="5" width="8.75" style="1"/>
    <col min="6" max="6" width="28.25" style="1" customWidth="1"/>
    <col min="7" max="7" width="2.625" style="1" customWidth="1"/>
    <col min="8" max="8" width="87.5" style="1" customWidth="1"/>
    <col min="9" max="16384" width="8.75" style="1"/>
  </cols>
  <sheetData>
    <row r="2" spans="2:8" x14ac:dyDescent="0.25">
      <c r="B2" s="15" t="s">
        <v>69</v>
      </c>
    </row>
    <row r="3" spans="2:8" x14ac:dyDescent="0.25">
      <c r="B3" s="1" t="s">
        <v>68</v>
      </c>
    </row>
    <row r="4" spans="2:8" s="16" customFormat="1" ht="30" x14ac:dyDescent="0.25">
      <c r="B4" s="8" t="s">
        <v>60</v>
      </c>
      <c r="C4" s="8" t="s">
        <v>61</v>
      </c>
      <c r="D4" s="21" t="s">
        <v>62</v>
      </c>
      <c r="E4" s="8" t="s">
        <v>63</v>
      </c>
      <c r="G4" s="23" t="s">
        <v>64</v>
      </c>
    </row>
    <row r="5" spans="2:8" x14ac:dyDescent="0.25">
      <c r="B5" s="19">
        <v>32874</v>
      </c>
      <c r="C5" s="19">
        <v>33603</v>
      </c>
      <c r="D5" s="22">
        <f>(C5-B5)/365</f>
        <v>1.9972602739726026</v>
      </c>
      <c r="E5" s="20">
        <v>0.8</v>
      </c>
      <c r="G5" s="1">
        <v>1</v>
      </c>
      <c r="H5" s="1" t="s">
        <v>65</v>
      </c>
    </row>
    <row r="6" spans="2:8" x14ac:dyDescent="0.25">
      <c r="B6" s="19">
        <v>33604</v>
      </c>
      <c r="C6" s="19">
        <v>36891</v>
      </c>
      <c r="D6" s="22">
        <f t="shared" ref="D6:D11" si="0">(C6-B6)/365</f>
        <v>9.0054794520547947</v>
      </c>
      <c r="E6" s="20">
        <v>1</v>
      </c>
      <c r="G6" s="1">
        <v>2</v>
      </c>
      <c r="H6" s="1" t="s">
        <v>86</v>
      </c>
    </row>
    <row r="7" spans="2:8" x14ac:dyDescent="0.25">
      <c r="B7" s="19">
        <v>36892</v>
      </c>
      <c r="C7" s="19">
        <v>37256</v>
      </c>
      <c r="D7" s="22">
        <f t="shared" si="0"/>
        <v>0.99726027397260275</v>
      </c>
      <c r="E7" s="20">
        <v>0</v>
      </c>
      <c r="G7" s="1">
        <v>3</v>
      </c>
      <c r="H7" s="1" t="s">
        <v>87</v>
      </c>
    </row>
    <row r="8" spans="2:8" x14ac:dyDescent="0.25">
      <c r="B8" s="19">
        <v>37257</v>
      </c>
      <c r="C8" s="19">
        <v>37621</v>
      </c>
      <c r="D8" s="22">
        <f t="shared" si="0"/>
        <v>0.99726027397260275</v>
      </c>
      <c r="E8" s="20">
        <v>0.25</v>
      </c>
      <c r="H8" s="1" t="s">
        <v>88</v>
      </c>
    </row>
    <row r="9" spans="2:8" x14ac:dyDescent="0.25">
      <c r="B9" s="19">
        <v>37622</v>
      </c>
      <c r="C9" s="19">
        <v>39457</v>
      </c>
      <c r="D9" s="22">
        <f t="shared" si="0"/>
        <v>5.0273972602739727</v>
      </c>
      <c r="E9" s="20">
        <v>0.6</v>
      </c>
      <c r="G9" s="1">
        <v>4</v>
      </c>
      <c r="H9" s="1" t="s">
        <v>66</v>
      </c>
    </row>
    <row r="10" spans="2:8" x14ac:dyDescent="0.25">
      <c r="B10" s="19">
        <v>39458</v>
      </c>
      <c r="C10" s="19">
        <v>42369</v>
      </c>
      <c r="D10" s="22">
        <f t="shared" si="0"/>
        <v>7.9753424657534246</v>
      </c>
      <c r="E10" s="20">
        <v>1</v>
      </c>
      <c r="G10" s="1">
        <v>5</v>
      </c>
      <c r="H10" s="1" t="s">
        <v>67</v>
      </c>
    </row>
    <row r="11" spans="2:8" x14ac:dyDescent="0.25">
      <c r="B11" s="19">
        <v>42370</v>
      </c>
      <c r="C11" s="19">
        <v>45291</v>
      </c>
      <c r="D11" s="22">
        <f t="shared" si="0"/>
        <v>8.0027397260273965</v>
      </c>
      <c r="E11" s="20">
        <v>0.9</v>
      </c>
      <c r="G11" s="1">
        <v>6</v>
      </c>
      <c r="H11" s="1" t="s">
        <v>601</v>
      </c>
    </row>
    <row r="12" spans="2:8" ht="60" x14ac:dyDescent="0.25">
      <c r="B12" s="18"/>
      <c r="C12" s="18"/>
      <c r="D12" s="17"/>
      <c r="E12" s="18"/>
      <c r="G12" s="1">
        <v>7</v>
      </c>
      <c r="H12" s="4" t="s">
        <v>237</v>
      </c>
    </row>
    <row r="13" spans="2:8" x14ac:dyDescent="0.25">
      <c r="B13" s="18"/>
      <c r="C13" s="18"/>
      <c r="D13" s="17"/>
      <c r="E13" s="18"/>
      <c r="G13" s="23" t="s">
        <v>73</v>
      </c>
      <c r="H13" s="16"/>
    </row>
    <row r="14" spans="2:8" x14ac:dyDescent="0.25">
      <c r="B14" s="18"/>
      <c r="C14" s="18"/>
      <c r="D14" s="17"/>
      <c r="E14" s="18"/>
      <c r="G14" s="1">
        <v>1</v>
      </c>
      <c r="H14" s="25" t="s">
        <v>102</v>
      </c>
    </row>
    <row r="15" spans="2:8" x14ac:dyDescent="0.25">
      <c r="B15" s="18"/>
      <c r="C15" s="18"/>
      <c r="D15" s="17"/>
      <c r="E15" s="18"/>
      <c r="G15" s="1">
        <v>2</v>
      </c>
      <c r="H15" s="1" t="s">
        <v>103</v>
      </c>
    </row>
    <row r="16" spans="2:8" x14ac:dyDescent="0.25">
      <c r="B16" s="24" t="s">
        <v>70</v>
      </c>
      <c r="C16" s="18"/>
      <c r="D16" s="17"/>
      <c r="E16" s="18" t="s">
        <v>5</v>
      </c>
      <c r="F16" s="1" t="s">
        <v>72</v>
      </c>
      <c r="G16" s="1">
        <v>3</v>
      </c>
      <c r="H16" s="1" t="s">
        <v>74</v>
      </c>
    </row>
    <row r="17" spans="2:8" x14ac:dyDescent="0.25">
      <c r="B17" s="1" t="s">
        <v>71</v>
      </c>
      <c r="E17" s="1" t="s">
        <v>5</v>
      </c>
      <c r="F17" s="1" t="s">
        <v>72</v>
      </c>
    </row>
    <row r="19" spans="2:8" x14ac:dyDescent="0.25">
      <c r="B19" s="26" t="s">
        <v>93</v>
      </c>
      <c r="C19" s="26"/>
      <c r="D19" s="26"/>
      <c r="E19" s="26"/>
    </row>
    <row r="21" spans="2:8" ht="30" x14ac:dyDescent="0.25">
      <c r="B21" s="8" t="s">
        <v>60</v>
      </c>
      <c r="C21" s="8" t="s">
        <v>61</v>
      </c>
      <c r="D21" s="21" t="s">
        <v>62</v>
      </c>
      <c r="E21" s="8" t="s">
        <v>63</v>
      </c>
      <c r="F21" s="4" t="s">
        <v>89</v>
      </c>
    </row>
    <row r="22" spans="2:8" x14ac:dyDescent="0.25">
      <c r="B22" s="19">
        <v>32874</v>
      </c>
      <c r="C22" s="19">
        <v>33603</v>
      </c>
      <c r="D22" s="22">
        <f>(DATE(YEAR(C22),MONTH(C22)+IF(DAY(C22)&gt;15,1,0),1)-DATE(YEAR(B22),MONTH(B22)+IF((DATE(YEAR(B22),MONTH(B22)+1,1)-B22)&lt;16,1,0),1))/365.25</f>
        <v>1.998631074606434</v>
      </c>
      <c r="E22" s="20">
        <v>0.8</v>
      </c>
      <c r="F22" s="29">
        <f>D22*E22</f>
        <v>1.5989048596851472</v>
      </c>
      <c r="H22" s="14"/>
    </row>
    <row r="23" spans="2:8" x14ac:dyDescent="0.25">
      <c r="B23" s="19">
        <v>33604</v>
      </c>
      <c r="C23" s="19">
        <v>36891</v>
      </c>
      <c r="D23" s="22">
        <f t="shared" ref="D23:D28" si="1">(DATE(YEAR(C23),MONTH(C23)+IF(DAY(C23)&gt;15,1,0),1)-DATE(YEAR(B23),MONTH(B23)+IF((DATE(YEAR(B23),MONTH(B23)+1,1)-B23)&lt;16,1,0),1))/365.25</f>
        <v>9.0020533880903493</v>
      </c>
      <c r="E23" s="20">
        <v>1</v>
      </c>
      <c r="F23" s="29">
        <f>D23*E23</f>
        <v>9.0020533880903493</v>
      </c>
    </row>
    <row r="24" spans="2:8" x14ac:dyDescent="0.25">
      <c r="B24" s="19">
        <v>36892</v>
      </c>
      <c r="C24" s="19">
        <v>37256</v>
      </c>
      <c r="D24" s="22">
        <f t="shared" si="1"/>
        <v>0.99931553730321698</v>
      </c>
      <c r="E24" s="20">
        <v>0</v>
      </c>
      <c r="F24" s="29"/>
    </row>
    <row r="25" spans="2:8" x14ac:dyDescent="0.25">
      <c r="B25" s="19">
        <v>37257</v>
      </c>
      <c r="C25" s="19">
        <v>37986</v>
      </c>
      <c r="D25" s="22">
        <f t="shared" si="1"/>
        <v>1.998631074606434</v>
      </c>
      <c r="E25" s="20">
        <v>0.25</v>
      </c>
      <c r="F25" s="29"/>
    </row>
    <row r="26" spans="2:8" x14ac:dyDescent="0.25">
      <c r="B26" s="19">
        <v>37987</v>
      </c>
      <c r="C26" s="19">
        <v>39457</v>
      </c>
      <c r="D26" s="22">
        <f t="shared" si="1"/>
        <v>4</v>
      </c>
      <c r="E26" s="20">
        <v>0.6</v>
      </c>
      <c r="F26" s="29">
        <f>D26*E26</f>
        <v>2.4</v>
      </c>
      <c r="H26" s="1" t="s">
        <v>101</v>
      </c>
    </row>
    <row r="27" spans="2:8" x14ac:dyDescent="0.25">
      <c r="B27" s="19">
        <v>39458</v>
      </c>
      <c r="C27" s="19">
        <v>42369</v>
      </c>
      <c r="D27" s="22">
        <f t="shared" si="1"/>
        <v>8</v>
      </c>
      <c r="E27" s="20">
        <v>1</v>
      </c>
      <c r="F27" s="29">
        <f>D27*E27</f>
        <v>8</v>
      </c>
    </row>
    <row r="28" spans="2:8" x14ac:dyDescent="0.25">
      <c r="B28" s="19">
        <v>42370</v>
      </c>
      <c r="C28" s="19">
        <v>45291</v>
      </c>
      <c r="D28" s="22">
        <f t="shared" si="1"/>
        <v>8</v>
      </c>
      <c r="E28" s="20">
        <v>0.9</v>
      </c>
      <c r="F28" s="29">
        <f>D28*E28</f>
        <v>7.2</v>
      </c>
    </row>
    <row r="29" spans="2:8" x14ac:dyDescent="0.25">
      <c r="D29" s="29">
        <f>SUM(D22:D28)</f>
        <v>33.998631074606436</v>
      </c>
      <c r="F29" s="29">
        <f>SUM(F22:F28)</f>
        <v>28.200958247775496</v>
      </c>
    </row>
    <row r="30" spans="2:8" x14ac:dyDescent="0.25">
      <c r="D30" s="29"/>
      <c r="F30" s="29"/>
    </row>
    <row r="31" spans="2:8" x14ac:dyDescent="0.25">
      <c r="B31" s="32" t="s">
        <v>90</v>
      </c>
      <c r="D31" s="29"/>
      <c r="F31" s="29"/>
    </row>
    <row r="32" spans="2:8" x14ac:dyDescent="0.25">
      <c r="B32" s="33" t="s">
        <v>92</v>
      </c>
      <c r="D32" s="29"/>
      <c r="F32" s="29">
        <f>D29</f>
        <v>33.998631074606436</v>
      </c>
    </row>
    <row r="33" spans="2:8" x14ac:dyDescent="0.25">
      <c r="B33" s="33" t="s">
        <v>94</v>
      </c>
      <c r="D33" s="29"/>
      <c r="F33" s="29">
        <f>SUMIFS(D22:D28,E22:E28,"&gt;0.3329")</f>
        <v>31.000684462696782</v>
      </c>
      <c r="H33" s="1" t="s">
        <v>95</v>
      </c>
    </row>
    <row r="34" spans="2:8" x14ac:dyDescent="0.25">
      <c r="B34" s="33" t="s">
        <v>96</v>
      </c>
      <c r="D34" s="29"/>
      <c r="F34" s="29">
        <f>D24</f>
        <v>0.99931553730321698</v>
      </c>
      <c r="H34" s="1" t="s">
        <v>91</v>
      </c>
    </row>
    <row r="35" spans="2:8" x14ac:dyDescent="0.25">
      <c r="B35" s="1" t="s">
        <v>97</v>
      </c>
      <c r="F35" s="34">
        <f>D25</f>
        <v>1.998631074606434</v>
      </c>
      <c r="H35" s="1" t="s">
        <v>98</v>
      </c>
    </row>
    <row r="36" spans="2:8" x14ac:dyDescent="0.25">
      <c r="B36" s="1" t="s">
        <v>99</v>
      </c>
      <c r="F36" s="30">
        <f>F29/F33</f>
        <v>0.90968824516470903</v>
      </c>
      <c r="H36" s="1" t="s">
        <v>100</v>
      </c>
    </row>
    <row r="39" spans="2:8" x14ac:dyDescent="0.25">
      <c r="B39" s="35" t="s">
        <v>104</v>
      </c>
      <c r="C39" s="35"/>
      <c r="D39" s="35"/>
      <c r="E39" s="35"/>
      <c r="F39" s="35"/>
    </row>
    <row r="41" spans="2:8" ht="30" x14ac:dyDescent="0.25">
      <c r="B41" s="8" t="s">
        <v>60</v>
      </c>
      <c r="C41" s="8" t="s">
        <v>61</v>
      </c>
      <c r="D41" s="21" t="s">
        <v>62</v>
      </c>
      <c r="E41" s="8" t="s">
        <v>63</v>
      </c>
      <c r="F41" s="4" t="s">
        <v>89</v>
      </c>
    </row>
    <row r="42" spans="2:8" x14ac:dyDescent="0.25">
      <c r="B42" s="19">
        <v>32874</v>
      </c>
      <c r="C42" s="19">
        <v>33603</v>
      </c>
      <c r="D42" s="22">
        <f>(C42-B42)/365</f>
        <v>1.9972602739726026</v>
      </c>
      <c r="E42" s="20">
        <v>0.8</v>
      </c>
      <c r="F42" s="29">
        <f>D42*E42</f>
        <v>1.5978082191780822</v>
      </c>
    </row>
    <row r="43" spans="2:8" x14ac:dyDescent="0.25">
      <c r="B43" s="19">
        <v>33604</v>
      </c>
      <c r="C43" s="19">
        <v>36891</v>
      </c>
      <c r="D43" s="22">
        <f t="shared" ref="D43:D48" si="2">(C43-B43)/365</f>
        <v>9.0054794520547947</v>
      </c>
      <c r="E43" s="20">
        <v>1</v>
      </c>
      <c r="F43" s="29">
        <f t="shared" ref="F43:F48" si="3">D43*E43</f>
        <v>9.0054794520547947</v>
      </c>
    </row>
    <row r="44" spans="2:8" x14ac:dyDescent="0.25">
      <c r="B44" s="19">
        <v>36892</v>
      </c>
      <c r="C44" s="19">
        <v>37256</v>
      </c>
      <c r="D44" s="22">
        <f t="shared" si="2"/>
        <v>0.99726027397260275</v>
      </c>
      <c r="E44" s="20">
        <v>0</v>
      </c>
      <c r="F44" s="29">
        <f t="shared" si="3"/>
        <v>0</v>
      </c>
    </row>
    <row r="45" spans="2:8" x14ac:dyDescent="0.25">
      <c r="B45" s="19">
        <v>37257</v>
      </c>
      <c r="C45" s="19">
        <v>37986</v>
      </c>
      <c r="D45" s="22">
        <f t="shared" si="2"/>
        <v>1.9972602739726026</v>
      </c>
      <c r="E45" s="20">
        <v>0.25</v>
      </c>
      <c r="F45" s="29">
        <f t="shared" si="3"/>
        <v>0.49931506849315066</v>
      </c>
    </row>
    <row r="46" spans="2:8" x14ac:dyDescent="0.25">
      <c r="B46" s="19">
        <v>37987</v>
      </c>
      <c r="C46" s="19">
        <v>39457</v>
      </c>
      <c r="D46" s="22">
        <f t="shared" si="2"/>
        <v>4.0273972602739727</v>
      </c>
      <c r="E46" s="20">
        <v>0.6</v>
      </c>
      <c r="F46" s="29">
        <f t="shared" si="3"/>
        <v>2.4164383561643836</v>
      </c>
    </row>
    <row r="47" spans="2:8" x14ac:dyDescent="0.25">
      <c r="B47" s="19">
        <v>39458</v>
      </c>
      <c r="C47" s="19">
        <v>42369</v>
      </c>
      <c r="D47" s="22">
        <f t="shared" si="2"/>
        <v>7.9753424657534246</v>
      </c>
      <c r="E47" s="20">
        <v>1</v>
      </c>
      <c r="F47" s="29">
        <f t="shared" si="3"/>
        <v>7.9753424657534246</v>
      </c>
    </row>
    <row r="48" spans="2:8" x14ac:dyDescent="0.25">
      <c r="B48" s="19">
        <v>42370</v>
      </c>
      <c r="C48" s="19">
        <v>45291</v>
      </c>
      <c r="D48" s="22">
        <f t="shared" si="2"/>
        <v>8.0027397260273965</v>
      </c>
      <c r="E48" s="20">
        <v>0.9</v>
      </c>
      <c r="F48" s="29">
        <f t="shared" si="3"/>
        <v>7.202465753424657</v>
      </c>
    </row>
    <row r="49" spans="2:6" x14ac:dyDescent="0.25">
      <c r="D49" s="29">
        <f>SUM(D42:D48)</f>
        <v>34.0027397260274</v>
      </c>
      <c r="F49" s="29">
        <f>SUM(F42:F48)</f>
        <v>28.696849315068494</v>
      </c>
    </row>
    <row r="50" spans="2:6" x14ac:dyDescent="0.25">
      <c r="D50" s="29"/>
      <c r="F50" s="29"/>
    </row>
    <row r="51" spans="2:6" x14ac:dyDescent="0.25">
      <c r="B51" s="36" t="s">
        <v>90</v>
      </c>
      <c r="D51" s="29"/>
      <c r="F51" s="29"/>
    </row>
    <row r="52" spans="2:6" x14ac:dyDescent="0.25">
      <c r="B52" s="33" t="s">
        <v>92</v>
      </c>
      <c r="D52" s="29"/>
      <c r="F52" s="29">
        <f>D49</f>
        <v>34.0027397260274</v>
      </c>
    </row>
    <row r="53" spans="2:6" x14ac:dyDescent="0.25">
      <c r="B53" s="1" t="s">
        <v>105</v>
      </c>
      <c r="F53" s="30">
        <f>F49/D49</f>
        <v>0.84395697365240507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M19"/>
  <sheetViews>
    <sheetView rightToLeft="1" topLeftCell="A7" workbookViewId="0">
      <selection activeCell="B7" sqref="B7"/>
    </sheetView>
  </sheetViews>
  <sheetFormatPr defaultColWidth="8.75" defaultRowHeight="15" x14ac:dyDescent="0.25"/>
  <cols>
    <col min="1" max="1" width="8.75" style="1"/>
    <col min="2" max="10" width="18" style="1" customWidth="1"/>
    <col min="12" max="12" width="8.75" style="1"/>
    <col min="13" max="13" width="10.5" style="1" customWidth="1"/>
    <col min="14" max="16384" width="8.75" style="1"/>
  </cols>
  <sheetData>
    <row r="3" spans="1:13" x14ac:dyDescent="0.25">
      <c r="B3" s="1" t="s">
        <v>106</v>
      </c>
    </row>
    <row r="5" spans="1:13" s="4" customFormat="1" ht="75" x14ac:dyDescent="0.25">
      <c r="A5" s="8" t="s">
        <v>522</v>
      </c>
      <c r="B5" s="8" t="s">
        <v>26</v>
      </c>
      <c r="C5" s="8" t="s">
        <v>606</v>
      </c>
      <c r="D5" s="8" t="s">
        <v>22</v>
      </c>
      <c r="E5" s="8" t="s">
        <v>27</v>
      </c>
      <c r="F5" s="8" t="s">
        <v>33</v>
      </c>
      <c r="G5" s="8" t="s">
        <v>9</v>
      </c>
      <c r="H5" s="8" t="s">
        <v>10</v>
      </c>
      <c r="I5" s="8" t="s">
        <v>14</v>
      </c>
      <c r="J5" s="8" t="s">
        <v>34</v>
      </c>
    </row>
    <row r="6" spans="1:13" ht="105" x14ac:dyDescent="0.25">
      <c r="A6" s="87" t="s">
        <v>523</v>
      </c>
      <c r="B6" s="118" t="s">
        <v>107</v>
      </c>
      <c r="C6" s="124" t="s">
        <v>636</v>
      </c>
      <c r="D6" s="7" t="s">
        <v>109</v>
      </c>
      <c r="E6" s="37" t="s">
        <v>115</v>
      </c>
      <c r="F6" s="6"/>
      <c r="G6" s="6" t="s">
        <v>11</v>
      </c>
      <c r="H6" s="6" t="s">
        <v>13</v>
      </c>
      <c r="I6" s="6" t="s">
        <v>108</v>
      </c>
      <c r="J6" s="7" t="s">
        <v>110</v>
      </c>
    </row>
    <row r="7" spans="1:13" ht="225" x14ac:dyDescent="0.25">
      <c r="A7" s="93" t="s">
        <v>526</v>
      </c>
      <c r="B7" s="125" t="s">
        <v>527</v>
      </c>
      <c r="C7" s="90" t="s">
        <v>637</v>
      </c>
      <c r="D7" s="90" t="s">
        <v>109</v>
      </c>
      <c r="E7" s="91"/>
      <c r="F7" s="90" t="s">
        <v>528</v>
      </c>
      <c r="G7" s="92" t="s">
        <v>12</v>
      </c>
      <c r="H7" s="92" t="s">
        <v>529</v>
      </c>
      <c r="I7" s="95">
        <v>2000</v>
      </c>
      <c r="J7" s="90" t="s">
        <v>534</v>
      </c>
      <c r="M7" s="94" t="s">
        <v>530</v>
      </c>
    </row>
    <row r="8" spans="1:13" x14ac:dyDescent="0.25">
      <c r="B8" s="11" t="s">
        <v>147</v>
      </c>
      <c r="C8" s="11"/>
      <c r="D8" s="7"/>
      <c r="E8" s="6"/>
      <c r="F8" s="6"/>
      <c r="G8" s="6"/>
      <c r="H8" s="6"/>
      <c r="I8" s="6"/>
      <c r="J8" s="6"/>
    </row>
    <row r="9" spans="1:13" x14ac:dyDescent="0.25">
      <c r="A9" s="1" t="s">
        <v>523</v>
      </c>
      <c r="B9" s="127" t="s">
        <v>148</v>
      </c>
      <c r="C9" s="1" t="s">
        <v>639</v>
      </c>
      <c r="D9" s="1" t="s">
        <v>149</v>
      </c>
      <c r="E9" s="1">
        <v>350</v>
      </c>
      <c r="G9" s="1" t="s">
        <v>11</v>
      </c>
      <c r="H9" s="1" t="s">
        <v>13</v>
      </c>
      <c r="I9" s="1">
        <v>350</v>
      </c>
      <c r="J9" s="1" t="s">
        <v>156</v>
      </c>
    </row>
    <row r="10" spans="1:13" x14ac:dyDescent="0.25">
      <c r="A10" s="1" t="s">
        <v>523</v>
      </c>
      <c r="B10" s="127" t="s">
        <v>150</v>
      </c>
      <c r="C10" s="1" t="s">
        <v>640</v>
      </c>
      <c r="D10" s="1" t="s">
        <v>151</v>
      </c>
      <c r="E10" s="1" t="s">
        <v>152</v>
      </c>
      <c r="G10" s="1" t="s">
        <v>11</v>
      </c>
      <c r="H10" s="1" t="s">
        <v>13</v>
      </c>
      <c r="I10" s="1" t="s">
        <v>153</v>
      </c>
    </row>
    <row r="11" spans="1:13" x14ac:dyDescent="0.25">
      <c r="B11" s="15" t="s">
        <v>457</v>
      </c>
      <c r="C11" s="15"/>
    </row>
    <row r="12" spans="1:13" ht="60" x14ac:dyDescent="0.25">
      <c r="A12" s="1" t="s">
        <v>594</v>
      </c>
      <c r="B12" s="126" t="s">
        <v>458</v>
      </c>
      <c r="C12" s="16" t="s">
        <v>638</v>
      </c>
      <c r="D12" s="1" t="s">
        <v>459</v>
      </c>
      <c r="E12" s="1" t="s">
        <v>460</v>
      </c>
      <c r="J12" s="1" t="s">
        <v>462</v>
      </c>
    </row>
    <row r="13" spans="1:13" ht="45" x14ac:dyDescent="0.25">
      <c r="A13" s="1" t="s">
        <v>594</v>
      </c>
      <c r="B13" s="128" t="s">
        <v>461</v>
      </c>
      <c r="C13" s="4" t="s">
        <v>641</v>
      </c>
      <c r="D13" s="1" t="s">
        <v>149</v>
      </c>
      <c r="E13" s="1">
        <v>150</v>
      </c>
    </row>
    <row r="14" spans="1:13" x14ac:dyDescent="0.25">
      <c r="B14" s="11" t="s">
        <v>154</v>
      </c>
      <c r="C14" s="63"/>
    </row>
    <row r="15" spans="1:13" x14ac:dyDescent="0.25">
      <c r="A15" s="1" t="s">
        <v>523</v>
      </c>
      <c r="B15" s="127" t="s">
        <v>155</v>
      </c>
      <c r="C15" s="1" t="s">
        <v>642</v>
      </c>
      <c r="D15" s="1" t="s">
        <v>149</v>
      </c>
      <c r="E15" s="1">
        <v>45</v>
      </c>
      <c r="G15" s="1" t="s">
        <v>11</v>
      </c>
      <c r="H15" s="1" t="s">
        <v>13</v>
      </c>
      <c r="I15" s="1">
        <v>45</v>
      </c>
      <c r="J15" s="1" t="s">
        <v>156</v>
      </c>
    </row>
    <row r="16" spans="1:13" ht="45" x14ac:dyDescent="0.25">
      <c r="A16" s="1" t="s">
        <v>523</v>
      </c>
      <c r="B16" s="127" t="s">
        <v>157</v>
      </c>
      <c r="C16" s="1" t="s">
        <v>643</v>
      </c>
      <c r="D16" s="4" t="s">
        <v>158</v>
      </c>
      <c r="E16" s="1" t="s">
        <v>159</v>
      </c>
      <c r="G16" s="1" t="s">
        <v>11</v>
      </c>
      <c r="H16" s="1" t="s">
        <v>159</v>
      </c>
      <c r="I16" s="1" t="s">
        <v>159</v>
      </c>
    </row>
    <row r="17" spans="1:9" x14ac:dyDescent="0.25">
      <c r="A17" s="1" t="s">
        <v>523</v>
      </c>
      <c r="B17" s="127" t="s">
        <v>160</v>
      </c>
      <c r="C17" s="1" t="s">
        <v>644</v>
      </c>
      <c r="D17" s="1" t="s">
        <v>151</v>
      </c>
      <c r="E17" s="1" t="s">
        <v>255</v>
      </c>
      <c r="G17" s="1" t="s">
        <v>11</v>
      </c>
      <c r="H17" s="1" t="s">
        <v>13</v>
      </c>
      <c r="I17" s="1" t="s">
        <v>161</v>
      </c>
    </row>
    <row r="19" spans="1:9" x14ac:dyDescent="0.25">
      <c r="B19" s="76" t="s">
        <v>503</v>
      </c>
      <c r="C19" s="7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O411"/>
  <sheetViews>
    <sheetView rightToLeft="1" tabSelected="1" topLeftCell="A31" workbookViewId="0">
      <selection activeCell="E54" sqref="E54"/>
    </sheetView>
  </sheetViews>
  <sheetFormatPr defaultColWidth="8.75" defaultRowHeight="15" x14ac:dyDescent="0.25"/>
  <cols>
    <col min="1" max="1" width="8.75" style="1"/>
    <col min="2" max="2" width="42.25" style="1" bestFit="1" customWidth="1"/>
    <col min="3" max="3" width="42.25" style="1" customWidth="1"/>
    <col min="4" max="4" width="52.75" style="1" bestFit="1" customWidth="1"/>
    <col min="5" max="5" width="15.375" style="1" bestFit="1" customWidth="1"/>
    <col min="6" max="6" width="8.75" style="1"/>
    <col min="7" max="7" width="33.75" style="1" customWidth="1"/>
    <col min="8" max="16384" width="8.75" style="1"/>
  </cols>
  <sheetData>
    <row r="2" spans="1:13" x14ac:dyDescent="0.25">
      <c r="B2" s="1" t="s">
        <v>162</v>
      </c>
    </row>
    <row r="4" spans="1:13" x14ac:dyDescent="0.25">
      <c r="A4" s="1">
        <v>1</v>
      </c>
      <c r="B4" s="31" t="s">
        <v>4</v>
      </c>
      <c r="C4" s="31"/>
    </row>
    <row r="5" spans="1:13" x14ac:dyDescent="0.25">
      <c r="B5" s="45" t="s">
        <v>165</v>
      </c>
      <c r="C5" s="45" t="s">
        <v>606</v>
      </c>
      <c r="D5" s="45" t="s">
        <v>166</v>
      </c>
    </row>
    <row r="6" spans="1:13" x14ac:dyDescent="0.25">
      <c r="B6" s="113" t="s">
        <v>163</v>
      </c>
      <c r="C6" s="113"/>
      <c r="D6" s="6" t="s">
        <v>164</v>
      </c>
      <c r="G6" s="131" t="s">
        <v>602</v>
      </c>
      <c r="H6" s="131"/>
      <c r="I6" s="131"/>
      <c r="J6" s="131"/>
      <c r="K6" s="131"/>
      <c r="L6" s="131"/>
      <c r="M6" s="131"/>
    </row>
    <row r="7" spans="1:13" x14ac:dyDescent="0.25">
      <c r="B7" s="113" t="s">
        <v>7</v>
      </c>
      <c r="C7" s="113"/>
      <c r="D7" s="6" t="s">
        <v>167</v>
      </c>
    </row>
    <row r="8" spans="1:13" x14ac:dyDescent="0.25">
      <c r="B8" s="113" t="s">
        <v>8</v>
      </c>
      <c r="C8" s="113"/>
      <c r="D8" s="6" t="s">
        <v>167</v>
      </c>
    </row>
    <row r="9" spans="1:13" x14ac:dyDescent="0.25">
      <c r="B9" s="113" t="s">
        <v>75</v>
      </c>
      <c r="C9" s="113"/>
      <c r="D9" s="6" t="s">
        <v>167</v>
      </c>
    </row>
    <row r="10" spans="1:13" x14ac:dyDescent="0.25">
      <c r="B10" s="113" t="s">
        <v>80</v>
      </c>
      <c r="C10" s="113"/>
      <c r="D10" s="6" t="s">
        <v>167</v>
      </c>
    </row>
    <row r="11" spans="1:13" x14ac:dyDescent="0.25">
      <c r="B11" s="113" t="s">
        <v>77</v>
      </c>
      <c r="C11" s="113"/>
      <c r="D11" s="6" t="s">
        <v>167</v>
      </c>
    </row>
    <row r="12" spans="1:13" x14ac:dyDescent="0.25">
      <c r="B12" s="114" t="s">
        <v>168</v>
      </c>
      <c r="C12" s="114" t="s">
        <v>645</v>
      </c>
      <c r="D12" s="112" t="s">
        <v>169</v>
      </c>
    </row>
    <row r="13" spans="1:13" x14ac:dyDescent="0.25">
      <c r="B13" s="113" t="s">
        <v>549</v>
      </c>
      <c r="C13" s="113"/>
      <c r="D13" s="6" t="s">
        <v>548</v>
      </c>
    </row>
    <row r="14" spans="1:13" x14ac:dyDescent="0.25">
      <c r="B14" s="113" t="s">
        <v>81</v>
      </c>
      <c r="C14" s="113"/>
      <c r="D14" s="6" t="s">
        <v>167</v>
      </c>
    </row>
    <row r="15" spans="1:13" x14ac:dyDescent="0.25">
      <c r="B15" s="114" t="s">
        <v>170</v>
      </c>
      <c r="C15" s="114" t="s">
        <v>646</v>
      </c>
      <c r="D15" s="112" t="s">
        <v>171</v>
      </c>
    </row>
    <row r="16" spans="1:13" x14ac:dyDescent="0.25">
      <c r="B16" s="113" t="s">
        <v>172</v>
      </c>
      <c r="C16" s="113"/>
      <c r="D16" s="6" t="s">
        <v>173</v>
      </c>
    </row>
    <row r="17" spans="1:7" x14ac:dyDescent="0.25">
      <c r="B17" s="113" t="s">
        <v>174</v>
      </c>
      <c r="C17" s="113"/>
      <c r="D17" s="6" t="s">
        <v>175</v>
      </c>
    </row>
    <row r="18" spans="1:7" x14ac:dyDescent="0.25">
      <c r="B18" s="113" t="s">
        <v>118</v>
      </c>
      <c r="C18" s="113"/>
      <c r="D18" s="6" t="s">
        <v>176</v>
      </c>
    </row>
    <row r="19" spans="1:7" x14ac:dyDescent="0.25">
      <c r="B19" s="113" t="s">
        <v>137</v>
      </c>
      <c r="C19" s="113"/>
      <c r="D19" s="6" t="s">
        <v>180</v>
      </c>
    </row>
    <row r="20" spans="1:7" ht="7.15" customHeight="1" x14ac:dyDescent="0.25"/>
    <row r="21" spans="1:7" x14ac:dyDescent="0.25">
      <c r="B21" s="113" t="s">
        <v>184</v>
      </c>
      <c r="C21" s="113"/>
      <c r="D21" s="6" t="s">
        <v>181</v>
      </c>
    </row>
    <row r="22" spans="1:7" x14ac:dyDescent="0.25">
      <c r="B22" s="113" t="s">
        <v>531</v>
      </c>
      <c r="C22" s="113"/>
      <c r="D22" s="6" t="s">
        <v>185</v>
      </c>
    </row>
    <row r="23" spans="1:7" ht="60" x14ac:dyDescent="0.25">
      <c r="B23" s="132" t="s">
        <v>532</v>
      </c>
      <c r="C23" s="134" t="s">
        <v>647</v>
      </c>
      <c r="D23" s="133" t="s">
        <v>533</v>
      </c>
    </row>
    <row r="24" spans="1:7" x14ac:dyDescent="0.25">
      <c r="B24" s="113" t="s">
        <v>182</v>
      </c>
      <c r="C24" s="113"/>
      <c r="D24" s="6" t="s">
        <v>181</v>
      </c>
    </row>
    <row r="25" spans="1:7" x14ac:dyDescent="0.25">
      <c r="B25" s="113" t="s">
        <v>183</v>
      </c>
      <c r="C25" s="113"/>
      <c r="D25" s="6" t="s">
        <v>181</v>
      </c>
    </row>
    <row r="27" spans="1:7" x14ac:dyDescent="0.25">
      <c r="A27" s="1">
        <v>2</v>
      </c>
      <c r="B27" s="15" t="s">
        <v>69</v>
      </c>
      <c r="C27" s="15"/>
    </row>
    <row r="28" spans="1:7" ht="38.25" customHeight="1" x14ac:dyDescent="0.25">
      <c r="B28" s="1" t="s">
        <v>186</v>
      </c>
      <c r="E28" s="1" t="s">
        <v>648</v>
      </c>
      <c r="G28" s="1" t="s">
        <v>650</v>
      </c>
    </row>
    <row r="29" spans="1:7" ht="75" x14ac:dyDescent="0.25">
      <c r="B29" s="8" t="s">
        <v>60</v>
      </c>
      <c r="C29" s="8"/>
      <c r="D29" s="8" t="s">
        <v>61</v>
      </c>
      <c r="E29" s="21" t="s">
        <v>62</v>
      </c>
      <c r="F29" s="8" t="s">
        <v>63</v>
      </c>
      <c r="G29" s="7" t="s">
        <v>89</v>
      </c>
    </row>
    <row r="30" spans="1:7" x14ac:dyDescent="0.25">
      <c r="B30" s="19">
        <v>32874</v>
      </c>
      <c r="C30" s="19"/>
      <c r="D30" s="19">
        <v>33603</v>
      </c>
      <c r="E30" s="22">
        <f>(DATE(YEAR(D30),MONTH(D30)+IF(DAY(D30)&gt;15,1,0),1)-DATE(YEAR(B30),MONTH(B30)+IF((DATE(YEAR(B30),MONTH(B30)+1,1)-B30)&lt;16,1,0),1))/365.25</f>
        <v>1.998631074606434</v>
      </c>
      <c r="F30" s="20">
        <v>0.8</v>
      </c>
      <c r="G30" s="48">
        <f>E30*F30</f>
        <v>1.5989048596851472</v>
      </c>
    </row>
    <row r="31" spans="1:7" x14ac:dyDescent="0.25">
      <c r="B31" s="19">
        <v>33604</v>
      </c>
      <c r="C31" s="19"/>
      <c r="D31" s="19">
        <v>36891</v>
      </c>
      <c r="E31" s="22">
        <f t="shared" ref="E31:E36" si="0">(DATE(YEAR(D31),MONTH(D31)+IF(DAY(D31)&gt;15,1,0),1)-DATE(YEAR(B31),MONTH(B31)+IF((DATE(YEAR(B31),MONTH(B31)+1,1)-B31)&lt;16,1,0),1))/365.25</f>
        <v>9.0020533880903493</v>
      </c>
      <c r="F31" s="20">
        <v>1</v>
      </c>
      <c r="G31" s="48">
        <f>E31*F31</f>
        <v>9.0020533880903493</v>
      </c>
    </row>
    <row r="32" spans="1:7" x14ac:dyDescent="0.25">
      <c r="B32" s="19">
        <v>36892</v>
      </c>
      <c r="C32" s="19"/>
      <c r="D32" s="19">
        <v>37256</v>
      </c>
      <c r="E32" s="22">
        <f t="shared" si="0"/>
        <v>0.99931553730321698</v>
      </c>
      <c r="F32" s="20">
        <v>0</v>
      </c>
      <c r="G32" s="48"/>
    </row>
    <row r="33" spans="1:7" x14ac:dyDescent="0.25">
      <c r="B33" s="19">
        <v>37257</v>
      </c>
      <c r="C33" s="19"/>
      <c r="D33" s="19">
        <v>37986</v>
      </c>
      <c r="E33" s="22">
        <f t="shared" si="0"/>
        <v>1.998631074606434</v>
      </c>
      <c r="F33" s="20">
        <v>0.25</v>
      </c>
      <c r="G33" s="48"/>
    </row>
    <row r="34" spans="1:7" x14ac:dyDescent="0.25">
      <c r="B34" s="19">
        <v>37987</v>
      </c>
      <c r="C34" s="19"/>
      <c r="D34" s="19">
        <v>39457</v>
      </c>
      <c r="E34" s="22">
        <f t="shared" si="0"/>
        <v>4</v>
      </c>
      <c r="F34" s="20">
        <v>0.6</v>
      </c>
      <c r="G34" s="48">
        <f>E34*F34</f>
        <v>2.4</v>
      </c>
    </row>
    <row r="35" spans="1:7" x14ac:dyDescent="0.25">
      <c r="B35" s="19">
        <v>39458</v>
      </c>
      <c r="C35" s="19"/>
      <c r="D35" s="19">
        <v>42369</v>
      </c>
      <c r="E35" s="22">
        <f t="shared" si="0"/>
        <v>8</v>
      </c>
      <c r="F35" s="20">
        <v>1</v>
      </c>
      <c r="G35" s="48">
        <f>E35*F35</f>
        <v>8</v>
      </c>
    </row>
    <row r="36" spans="1:7" x14ac:dyDescent="0.25">
      <c r="B36" s="19">
        <v>42370</v>
      </c>
      <c r="C36" s="19"/>
      <c r="D36" s="19">
        <v>45291</v>
      </c>
      <c r="E36" s="22">
        <f t="shared" si="0"/>
        <v>8</v>
      </c>
      <c r="F36" s="20">
        <v>0.9</v>
      </c>
      <c r="G36" s="48">
        <f>E36*F36</f>
        <v>7.2</v>
      </c>
    </row>
    <row r="37" spans="1:7" x14ac:dyDescent="0.25">
      <c r="E37" s="29">
        <f>SUM(E30:E36)</f>
        <v>33.998631074606436</v>
      </c>
      <c r="G37" s="29">
        <f>SUM(G30:G36)</f>
        <v>28.200958247775496</v>
      </c>
    </row>
    <row r="38" spans="1:7" x14ac:dyDescent="0.25">
      <c r="E38" s="29"/>
      <c r="G38" s="29"/>
    </row>
    <row r="39" spans="1:7" x14ac:dyDescent="0.25">
      <c r="B39" s="58" t="s">
        <v>90</v>
      </c>
      <c r="C39" s="58"/>
      <c r="E39" s="29"/>
      <c r="G39" s="29"/>
    </row>
    <row r="40" spans="1:7" x14ac:dyDescent="0.25">
      <c r="B40" s="137" t="s">
        <v>92</v>
      </c>
      <c r="C40" s="137" t="s">
        <v>649</v>
      </c>
      <c r="D40" s="48">
        <f>E37</f>
        <v>33.998631074606436</v>
      </c>
    </row>
    <row r="41" spans="1:7" x14ac:dyDescent="0.25">
      <c r="B41" s="137" t="s">
        <v>94</v>
      </c>
      <c r="C41" s="137" t="s">
        <v>651</v>
      </c>
      <c r="D41" s="48">
        <f>SUMIFS(E30:E36,F30:F36,"&gt;0.3329")</f>
        <v>31.000684462696782</v>
      </c>
    </row>
    <row r="42" spans="1:7" x14ac:dyDescent="0.25">
      <c r="B42" s="137" t="s">
        <v>96</v>
      </c>
      <c r="C42" s="137" t="s">
        <v>652</v>
      </c>
      <c r="D42" s="48">
        <f>E32</f>
        <v>0.99931553730321698</v>
      </c>
    </row>
    <row r="43" spans="1:7" x14ac:dyDescent="0.25">
      <c r="B43" s="137" t="s">
        <v>97</v>
      </c>
      <c r="C43" s="137" t="s">
        <v>653</v>
      </c>
      <c r="D43" s="138">
        <f>E33</f>
        <v>1.998631074606434</v>
      </c>
    </row>
    <row r="44" spans="1:7" x14ac:dyDescent="0.25">
      <c r="B44" s="137" t="s">
        <v>99</v>
      </c>
      <c r="C44" s="137" t="s">
        <v>654</v>
      </c>
      <c r="D44" s="55">
        <f>G37/D41</f>
        <v>0.90968824516470903</v>
      </c>
    </row>
    <row r="46" spans="1:7" x14ac:dyDescent="0.25">
      <c r="A46" s="15">
        <v>3</v>
      </c>
      <c r="B46" s="57" t="s">
        <v>191</v>
      </c>
      <c r="C46" s="57"/>
      <c r="E46" s="1" t="s">
        <v>14</v>
      </c>
    </row>
    <row r="47" spans="1:7" x14ac:dyDescent="0.25">
      <c r="B47" s="141" t="s">
        <v>107</v>
      </c>
      <c r="C47" s="142" t="s">
        <v>647</v>
      </c>
      <c r="D47" s="140" t="s">
        <v>535</v>
      </c>
      <c r="E47" s="1">
        <v>10000</v>
      </c>
    </row>
    <row r="48" spans="1:7" x14ac:dyDescent="0.25">
      <c r="B48" s="135" t="s">
        <v>177</v>
      </c>
      <c r="C48" s="136" t="s">
        <v>651</v>
      </c>
      <c r="D48" s="6" t="s">
        <v>178</v>
      </c>
      <c r="E48" s="1">
        <v>31</v>
      </c>
    </row>
    <row r="49" spans="2:6" x14ac:dyDescent="0.25">
      <c r="B49" s="139" t="s">
        <v>99</v>
      </c>
      <c r="C49" s="139" t="s">
        <v>654</v>
      </c>
      <c r="D49" s="6" t="s">
        <v>179</v>
      </c>
      <c r="E49" s="46">
        <f>D44</f>
        <v>0.90968824516470903</v>
      </c>
    </row>
    <row r="50" spans="2:6" x14ac:dyDescent="0.25">
      <c r="B50" s="143" t="s">
        <v>196</v>
      </c>
      <c r="C50" s="143" t="s">
        <v>655</v>
      </c>
      <c r="D50" s="6" t="s">
        <v>197</v>
      </c>
      <c r="E50" s="30">
        <f>E48*2%</f>
        <v>0.62</v>
      </c>
    </row>
    <row r="51" spans="2:6" x14ac:dyDescent="0.25">
      <c r="B51" s="143" t="s">
        <v>198</v>
      </c>
      <c r="C51" s="143" t="s">
        <v>656</v>
      </c>
      <c r="D51" s="6" t="s">
        <v>657</v>
      </c>
      <c r="E51" s="30">
        <f>E50*E49</f>
        <v>0.5640067120021196</v>
      </c>
      <c r="F51" s="1" t="s">
        <v>206</v>
      </c>
    </row>
    <row r="52" spans="2:6" x14ac:dyDescent="0.25">
      <c r="B52" s="143" t="s">
        <v>200</v>
      </c>
      <c r="C52" s="143" t="s">
        <v>658</v>
      </c>
      <c r="D52" s="6" t="s">
        <v>536</v>
      </c>
      <c r="E52" s="14">
        <f>E51*E47</f>
        <v>5640.0671200211964</v>
      </c>
    </row>
    <row r="53" spans="2:6" x14ac:dyDescent="0.25">
      <c r="B53" s="143" t="s">
        <v>203</v>
      </c>
      <c r="C53" s="143" t="s">
        <v>659</v>
      </c>
      <c r="D53" s="6" t="s">
        <v>202</v>
      </c>
      <c r="E53" s="29">
        <f>E52*0.0382</f>
        <v>215.45056398480969</v>
      </c>
    </row>
    <row r="54" spans="2:6" x14ac:dyDescent="0.25">
      <c r="B54" s="143" t="s">
        <v>204</v>
      </c>
      <c r="C54" s="143" t="s">
        <v>660</v>
      </c>
      <c r="D54" s="6" t="s">
        <v>205</v>
      </c>
      <c r="E54" s="29">
        <f>E53+E52</f>
        <v>5855.5176840060058</v>
      </c>
    </row>
    <row r="56" spans="2:6" x14ac:dyDescent="0.25">
      <c r="B56" s="31" t="s">
        <v>210</v>
      </c>
      <c r="C56" s="31"/>
    </row>
    <row r="57" spans="2:6" x14ac:dyDescent="0.25">
      <c r="B57" s="31" t="s">
        <v>224</v>
      </c>
      <c r="C57" s="31"/>
    </row>
    <row r="58" spans="2:6" x14ac:dyDescent="0.25">
      <c r="B58" s="1" t="s">
        <v>211</v>
      </c>
    </row>
    <row r="59" spans="2:6" x14ac:dyDescent="0.25">
      <c r="B59" s="1" t="s">
        <v>212</v>
      </c>
    </row>
    <row r="60" spans="2:6" x14ac:dyDescent="0.25">
      <c r="B60" s="1" t="s">
        <v>213</v>
      </c>
    </row>
    <row r="61" spans="2:6" x14ac:dyDescent="0.25">
      <c r="B61" s="1" t="s">
        <v>214</v>
      </c>
    </row>
    <row r="62" spans="2:6" x14ac:dyDescent="0.25">
      <c r="B62" s="1" t="s">
        <v>215</v>
      </c>
    </row>
    <row r="63" spans="2:6" x14ac:dyDescent="0.25">
      <c r="B63" s="1" t="s">
        <v>216</v>
      </c>
    </row>
    <row r="64" spans="2:6" x14ac:dyDescent="0.25">
      <c r="B64" s="1" t="s">
        <v>217</v>
      </c>
    </row>
    <row r="65" spans="2:5" x14ac:dyDescent="0.25">
      <c r="B65" s="1" t="s">
        <v>218</v>
      </c>
    </row>
    <row r="66" spans="2:5" x14ac:dyDescent="0.25">
      <c r="B66" s="1" t="s">
        <v>219</v>
      </c>
    </row>
    <row r="67" spans="2:5" x14ac:dyDescent="0.25">
      <c r="B67" s="1" t="s">
        <v>220</v>
      </c>
      <c r="D67" s="1" t="s">
        <v>221</v>
      </c>
    </row>
    <row r="68" spans="2:5" x14ac:dyDescent="0.25">
      <c r="B68" s="1">
        <v>12000</v>
      </c>
      <c r="D68" s="1" t="s">
        <v>222</v>
      </c>
      <c r="E68" s="1">
        <f>B68*30%</f>
        <v>3600</v>
      </c>
    </row>
    <row r="69" spans="2:5" x14ac:dyDescent="0.25">
      <c r="B69" s="1">
        <v>25000</v>
      </c>
      <c r="D69" s="1" t="s">
        <v>223</v>
      </c>
      <c r="E69" s="1">
        <f>B69*40%</f>
        <v>10000</v>
      </c>
    </row>
    <row r="70" spans="2:5" x14ac:dyDescent="0.25">
      <c r="E70" s="1">
        <f>SUM(E68:E69)</f>
        <v>13600</v>
      </c>
    </row>
    <row r="71" spans="2:5" x14ac:dyDescent="0.25">
      <c r="B71" s="15" t="s">
        <v>268</v>
      </c>
      <c r="C71" s="15"/>
    </row>
    <row r="72" spans="2:5" x14ac:dyDescent="0.25">
      <c r="B72" s="112" t="s">
        <v>225</v>
      </c>
      <c r="C72" s="112"/>
      <c r="D72" s="6" t="s">
        <v>195</v>
      </c>
      <c r="E72" s="1">
        <v>12000</v>
      </c>
    </row>
    <row r="73" spans="2:5" x14ac:dyDescent="0.25">
      <c r="B73" s="112" t="s">
        <v>226</v>
      </c>
      <c r="C73" s="112"/>
      <c r="D73" s="6" t="s">
        <v>195</v>
      </c>
      <c r="E73" s="1">
        <v>25000</v>
      </c>
    </row>
    <row r="74" spans="2:5" x14ac:dyDescent="0.25">
      <c r="B74" s="112" t="s">
        <v>177</v>
      </c>
      <c r="C74" s="112"/>
      <c r="D74" s="6" t="s">
        <v>178</v>
      </c>
      <c r="E74" s="1">
        <v>31</v>
      </c>
    </row>
    <row r="75" spans="2:5" x14ac:dyDescent="0.25">
      <c r="B75" s="112" t="s">
        <v>227</v>
      </c>
      <c r="C75" s="112"/>
      <c r="D75" s="6" t="s">
        <v>229</v>
      </c>
      <c r="E75" s="1">
        <v>15</v>
      </c>
    </row>
    <row r="76" spans="2:5" x14ac:dyDescent="0.25">
      <c r="B76" s="112" t="s">
        <v>228</v>
      </c>
      <c r="C76" s="112"/>
      <c r="D76" s="6" t="s">
        <v>230</v>
      </c>
      <c r="E76" s="1">
        <v>16</v>
      </c>
    </row>
    <row r="77" spans="2:5" x14ac:dyDescent="0.25">
      <c r="B77" s="112" t="s">
        <v>99</v>
      </c>
      <c r="C77" s="112"/>
      <c r="D77" s="6" t="s">
        <v>179</v>
      </c>
      <c r="E77" s="46">
        <v>1</v>
      </c>
    </row>
    <row r="78" spans="2:5" x14ac:dyDescent="0.25">
      <c r="B78" s="112" t="s">
        <v>196</v>
      </c>
      <c r="C78" s="112"/>
      <c r="D78" s="6" t="s">
        <v>197</v>
      </c>
      <c r="E78" s="30">
        <f>E74*2%</f>
        <v>0.62</v>
      </c>
    </row>
    <row r="79" spans="2:5" x14ac:dyDescent="0.25">
      <c r="B79" s="112" t="s">
        <v>231</v>
      </c>
      <c r="C79" s="112"/>
      <c r="D79" s="6" t="s">
        <v>233</v>
      </c>
      <c r="E79" s="30">
        <f>E75*2%</f>
        <v>0.3</v>
      </c>
    </row>
    <row r="80" spans="2:5" x14ac:dyDescent="0.25">
      <c r="B80" s="112" t="s">
        <v>232</v>
      </c>
      <c r="C80" s="112"/>
      <c r="D80" s="6" t="s">
        <v>234</v>
      </c>
      <c r="E80" s="30">
        <f>E76*2%</f>
        <v>0.32</v>
      </c>
    </row>
    <row r="81" spans="2:5" x14ac:dyDescent="0.25">
      <c r="B81" s="112" t="s">
        <v>200</v>
      </c>
      <c r="C81" s="112"/>
      <c r="D81" s="6" t="s">
        <v>235</v>
      </c>
      <c r="E81" s="14">
        <f>E72*E79+E73*E80</f>
        <v>11600</v>
      </c>
    </row>
    <row r="82" spans="2:5" x14ac:dyDescent="0.25">
      <c r="B82" s="112" t="s">
        <v>203</v>
      </c>
      <c r="C82" s="112"/>
      <c r="D82" s="6" t="s">
        <v>236</v>
      </c>
      <c r="E82" s="29">
        <f>E72*E79*0.0382</f>
        <v>137.51999999999998</v>
      </c>
    </row>
    <row r="83" spans="2:5" x14ac:dyDescent="0.25">
      <c r="B83" s="112" t="s">
        <v>204</v>
      </c>
      <c r="C83" s="112"/>
      <c r="D83" s="6" t="s">
        <v>205</v>
      </c>
      <c r="E83" s="29">
        <f>E82+E81</f>
        <v>11737.52</v>
      </c>
    </row>
    <row r="84" spans="2:5" x14ac:dyDescent="0.25">
      <c r="B84" s="62"/>
      <c r="C84" s="62"/>
      <c r="D84" s="62"/>
      <c r="E84" s="29"/>
    </row>
    <row r="85" spans="2:5" x14ac:dyDescent="0.25">
      <c r="B85" s="31" t="s">
        <v>314</v>
      </c>
      <c r="C85" s="31"/>
      <c r="D85" s="62"/>
      <c r="E85" s="29"/>
    </row>
    <row r="86" spans="2:5" x14ac:dyDescent="0.25">
      <c r="B86" s="31" t="s">
        <v>224</v>
      </c>
      <c r="C86" s="31"/>
      <c r="D86" s="62"/>
      <c r="E86" s="29"/>
    </row>
    <row r="87" spans="2:5" x14ac:dyDescent="0.25">
      <c r="B87" s="1" t="s">
        <v>315</v>
      </c>
      <c r="D87" s="62"/>
      <c r="E87" s="29"/>
    </row>
    <row r="88" spans="2:5" x14ac:dyDescent="0.25">
      <c r="B88" s="62" t="s">
        <v>316</v>
      </c>
      <c r="C88" s="62"/>
      <c r="D88" s="62"/>
      <c r="E88" s="29"/>
    </row>
    <row r="89" spans="2:5" x14ac:dyDescent="0.25">
      <c r="B89" s="62" t="s">
        <v>317</v>
      </c>
      <c r="C89" s="62"/>
      <c r="D89" s="62"/>
      <c r="E89" s="29"/>
    </row>
    <row r="90" spans="2:5" x14ac:dyDescent="0.25">
      <c r="B90" s="63" t="s">
        <v>319</v>
      </c>
      <c r="C90" s="63"/>
      <c r="D90" s="62"/>
      <c r="E90" s="29"/>
    </row>
    <row r="91" spans="2:5" x14ac:dyDescent="0.25">
      <c r="B91" s="62" t="s">
        <v>165</v>
      </c>
      <c r="C91" s="62"/>
      <c r="D91" s="62" t="s">
        <v>245</v>
      </c>
      <c r="E91" s="29" t="s">
        <v>14</v>
      </c>
    </row>
    <row r="92" spans="2:5" x14ac:dyDescent="0.25">
      <c r="B92" s="6" t="s">
        <v>107</v>
      </c>
      <c r="C92" s="6"/>
      <c r="D92" s="92" t="s">
        <v>535</v>
      </c>
      <c r="E92" s="1">
        <v>10000</v>
      </c>
    </row>
    <row r="93" spans="2:5" x14ac:dyDescent="0.25">
      <c r="B93" s="6" t="s">
        <v>177</v>
      </c>
      <c r="C93" s="6"/>
      <c r="D93" s="6" t="s">
        <v>178</v>
      </c>
      <c r="E93" s="1">
        <v>31</v>
      </c>
    </row>
    <row r="94" spans="2:5" x14ac:dyDescent="0.25">
      <c r="B94" s="6" t="s">
        <v>99</v>
      </c>
      <c r="C94" s="6"/>
      <c r="D94" s="6" t="s">
        <v>179</v>
      </c>
      <c r="E94" s="46">
        <v>0.9</v>
      </c>
    </row>
    <row r="95" spans="2:5" x14ac:dyDescent="0.25">
      <c r="B95" s="6" t="s">
        <v>196</v>
      </c>
      <c r="C95" s="6"/>
      <c r="D95" s="6" t="s">
        <v>197</v>
      </c>
      <c r="E95" s="30">
        <f>E93*2%</f>
        <v>0.62</v>
      </c>
    </row>
    <row r="96" spans="2:5" x14ac:dyDescent="0.25">
      <c r="B96" s="6" t="s">
        <v>198</v>
      </c>
      <c r="C96" s="6"/>
      <c r="D96" s="6" t="s">
        <v>199</v>
      </c>
      <c r="E96" s="30">
        <f>E95*E94</f>
        <v>0.55800000000000005</v>
      </c>
    </row>
    <row r="97" spans="2:6" x14ac:dyDescent="0.25">
      <c r="B97" s="6" t="s">
        <v>318</v>
      </c>
      <c r="C97" s="6"/>
      <c r="D97" s="6" t="s">
        <v>320</v>
      </c>
      <c r="E97" s="30">
        <v>0.1</v>
      </c>
    </row>
    <row r="98" spans="2:6" x14ac:dyDescent="0.25">
      <c r="B98" s="6" t="s">
        <v>321</v>
      </c>
      <c r="C98" s="6"/>
      <c r="D98" s="6" t="s">
        <v>322</v>
      </c>
      <c r="E98" s="30">
        <f>E97+E96</f>
        <v>0.65800000000000003</v>
      </c>
      <c r="F98" s="1" t="s">
        <v>323</v>
      </c>
    </row>
    <row r="99" spans="2:6" x14ac:dyDescent="0.25">
      <c r="B99" s="6" t="s">
        <v>200</v>
      </c>
      <c r="C99" s="6"/>
      <c r="D99" s="6" t="s">
        <v>201</v>
      </c>
      <c r="E99" s="14">
        <f>E98*E92</f>
        <v>6580</v>
      </c>
    </row>
    <row r="100" spans="2:6" x14ac:dyDescent="0.25">
      <c r="B100" s="6" t="s">
        <v>203</v>
      </c>
      <c r="C100" s="6"/>
      <c r="D100" s="6" t="s">
        <v>202</v>
      </c>
      <c r="E100" s="29">
        <f>E99*0.0382</f>
        <v>251.35599999999999</v>
      </c>
    </row>
    <row r="101" spans="2:6" x14ac:dyDescent="0.25">
      <c r="B101" s="6" t="s">
        <v>204</v>
      </c>
      <c r="C101" s="6"/>
      <c r="D101" s="6" t="s">
        <v>205</v>
      </c>
      <c r="E101" s="29">
        <f>E100+E99</f>
        <v>6831.3559999999998</v>
      </c>
    </row>
    <row r="102" spans="2:6" x14ac:dyDescent="0.25">
      <c r="B102" s="62"/>
      <c r="C102" s="62"/>
      <c r="D102" s="62"/>
      <c r="E102" s="29"/>
    </row>
    <row r="103" spans="2:6" x14ac:dyDescent="0.25">
      <c r="B103" s="63" t="s">
        <v>324</v>
      </c>
      <c r="C103" s="63"/>
      <c r="D103" s="62"/>
      <c r="E103" s="29"/>
    </row>
    <row r="104" spans="2:6" x14ac:dyDescent="0.25">
      <c r="B104" s="62" t="s">
        <v>165</v>
      </c>
      <c r="C104" s="62"/>
      <c r="D104" s="62" t="s">
        <v>245</v>
      </c>
      <c r="E104" s="29" t="s">
        <v>14</v>
      </c>
    </row>
    <row r="105" spans="2:6" x14ac:dyDescent="0.25">
      <c r="B105" s="6" t="s">
        <v>107</v>
      </c>
      <c r="C105" s="6"/>
      <c r="D105" s="92" t="s">
        <v>535</v>
      </c>
      <c r="E105" s="1">
        <v>10000</v>
      </c>
    </row>
    <row r="106" spans="2:6" x14ac:dyDescent="0.25">
      <c r="B106" s="6" t="s">
        <v>177</v>
      </c>
      <c r="C106" s="6"/>
      <c r="D106" s="6" t="s">
        <v>178</v>
      </c>
      <c r="E106" s="1">
        <v>31</v>
      </c>
    </row>
    <row r="107" spans="2:6" x14ac:dyDescent="0.25">
      <c r="B107" s="6" t="s">
        <v>99</v>
      </c>
      <c r="C107" s="6"/>
      <c r="D107" s="6" t="s">
        <v>179</v>
      </c>
      <c r="E107" s="46">
        <v>0.9</v>
      </c>
    </row>
    <row r="108" spans="2:6" x14ac:dyDescent="0.25">
      <c r="B108" s="6" t="s">
        <v>196</v>
      </c>
      <c r="C108" s="6"/>
      <c r="D108" s="6" t="s">
        <v>197</v>
      </c>
      <c r="E108" s="30">
        <f>E106*2%</f>
        <v>0.62</v>
      </c>
    </row>
    <row r="109" spans="2:6" x14ac:dyDescent="0.25">
      <c r="B109" s="6" t="s">
        <v>198</v>
      </c>
      <c r="C109" s="6"/>
      <c r="D109" s="6" t="s">
        <v>199</v>
      </c>
      <c r="E109" s="30">
        <f>E108*E107</f>
        <v>0.55800000000000005</v>
      </c>
    </row>
    <row r="110" spans="2:6" x14ac:dyDescent="0.25">
      <c r="B110" s="6" t="s">
        <v>200</v>
      </c>
      <c r="C110" s="6"/>
      <c r="D110" s="6" t="s">
        <v>201</v>
      </c>
      <c r="E110" s="14">
        <f>E109*E105</f>
        <v>5580.0000000000009</v>
      </c>
    </row>
    <row r="111" spans="2:6" x14ac:dyDescent="0.25">
      <c r="B111" s="6" t="s">
        <v>203</v>
      </c>
      <c r="C111" s="6"/>
      <c r="D111" s="6" t="s">
        <v>202</v>
      </c>
      <c r="E111" s="29">
        <f>E110*0.0382</f>
        <v>213.15600000000003</v>
      </c>
    </row>
    <row r="112" spans="2:6" x14ac:dyDescent="0.25">
      <c r="B112" s="6" t="s">
        <v>325</v>
      </c>
      <c r="C112" s="6"/>
      <c r="D112" s="6" t="s">
        <v>326</v>
      </c>
      <c r="E112" s="29">
        <v>1500</v>
      </c>
    </row>
    <row r="113" spans="2:6" x14ac:dyDescent="0.25">
      <c r="B113" s="6" t="s">
        <v>204</v>
      </c>
      <c r="C113" s="6"/>
      <c r="D113" s="6" t="s">
        <v>327</v>
      </c>
      <c r="E113" s="29">
        <f>E112+E111+E110</f>
        <v>7293.1560000000009</v>
      </c>
    </row>
    <row r="114" spans="2:6" x14ac:dyDescent="0.25">
      <c r="B114" s="6" t="s">
        <v>328</v>
      </c>
      <c r="C114" s="6"/>
      <c r="D114" s="6" t="s">
        <v>329</v>
      </c>
      <c r="E114" s="30">
        <f>(E110+E112)/E105</f>
        <v>0.70800000000000007</v>
      </c>
      <c r="F114" s="1" t="s">
        <v>330</v>
      </c>
    </row>
    <row r="115" spans="2:6" x14ac:dyDescent="0.25">
      <c r="B115" s="6" t="s">
        <v>331</v>
      </c>
      <c r="C115" s="6"/>
      <c r="D115" s="6" t="s">
        <v>332</v>
      </c>
      <c r="E115" s="29">
        <f>E105*70%*1.0382</f>
        <v>7267.4</v>
      </c>
      <c r="F115" s="1" t="s">
        <v>333</v>
      </c>
    </row>
    <row r="116" spans="2:6" x14ac:dyDescent="0.25">
      <c r="B116" s="62"/>
      <c r="C116" s="62"/>
      <c r="D116" s="62"/>
      <c r="E116" s="29"/>
    </row>
    <row r="117" spans="2:6" x14ac:dyDescent="0.25">
      <c r="B117" s="63" t="s">
        <v>589</v>
      </c>
      <c r="C117" s="63"/>
      <c r="D117" s="62"/>
      <c r="E117" s="29"/>
    </row>
    <row r="118" spans="2:6" x14ac:dyDescent="0.25">
      <c r="B118" s="62" t="s">
        <v>165</v>
      </c>
      <c r="C118" s="62"/>
      <c r="D118" s="62" t="s">
        <v>245</v>
      </c>
      <c r="E118" s="29" t="s">
        <v>14</v>
      </c>
    </row>
    <row r="119" spans="2:6" x14ac:dyDescent="0.25">
      <c r="B119" s="6" t="s">
        <v>107</v>
      </c>
      <c r="C119" s="6"/>
      <c r="D119" s="92" t="s">
        <v>535</v>
      </c>
      <c r="E119" s="1">
        <v>10000</v>
      </c>
    </row>
    <row r="120" spans="2:6" x14ac:dyDescent="0.25">
      <c r="B120" s="6" t="s">
        <v>177</v>
      </c>
      <c r="C120" s="6"/>
      <c r="D120" s="6" t="s">
        <v>178</v>
      </c>
      <c r="E120" s="1">
        <v>31</v>
      </c>
    </row>
    <row r="121" spans="2:6" x14ac:dyDescent="0.25">
      <c r="B121" s="6" t="s">
        <v>99</v>
      </c>
      <c r="C121" s="6"/>
      <c r="D121" s="6" t="s">
        <v>179</v>
      </c>
      <c r="E121" s="46">
        <v>0.9</v>
      </c>
    </row>
    <row r="122" spans="2:6" x14ac:dyDescent="0.25">
      <c r="B122" s="6" t="s">
        <v>196</v>
      </c>
      <c r="C122" s="6"/>
      <c r="D122" s="6" t="s">
        <v>197</v>
      </c>
      <c r="E122" s="30">
        <f>E120*2%</f>
        <v>0.62</v>
      </c>
    </row>
    <row r="123" spans="2:6" x14ac:dyDescent="0.25">
      <c r="B123" s="6" t="s">
        <v>198</v>
      </c>
      <c r="C123" s="6"/>
      <c r="D123" s="6" t="s">
        <v>199</v>
      </c>
      <c r="E123" s="65">
        <f>E122*E121</f>
        <v>0.55800000000000005</v>
      </c>
    </row>
    <row r="124" spans="2:6" x14ac:dyDescent="0.25">
      <c r="B124" s="6" t="s">
        <v>200</v>
      </c>
      <c r="C124" s="6"/>
      <c r="D124" s="6" t="s">
        <v>201</v>
      </c>
      <c r="E124" s="14">
        <f>E123*E119</f>
        <v>5580.0000000000009</v>
      </c>
    </row>
    <row r="125" spans="2:6" x14ac:dyDescent="0.25">
      <c r="B125" s="6" t="s">
        <v>203</v>
      </c>
      <c r="C125" s="6"/>
      <c r="D125" s="6" t="s">
        <v>202</v>
      </c>
      <c r="E125" s="29">
        <f>E124*0.0382</f>
        <v>213.15600000000003</v>
      </c>
    </row>
    <row r="126" spans="2:6" x14ac:dyDescent="0.25">
      <c r="B126" s="6" t="s">
        <v>334</v>
      </c>
      <c r="C126" s="6"/>
      <c r="D126" s="6" t="s">
        <v>326</v>
      </c>
      <c r="E126" s="29">
        <v>20000</v>
      </c>
    </row>
    <row r="127" spans="2:6" x14ac:dyDescent="0.25">
      <c r="B127" s="6" t="s">
        <v>335</v>
      </c>
      <c r="C127" s="6"/>
      <c r="D127" s="6" t="s">
        <v>336</v>
      </c>
      <c r="E127" s="39">
        <v>0.3</v>
      </c>
    </row>
    <row r="128" spans="2:6" x14ac:dyDescent="0.25">
      <c r="B128" s="6" t="s">
        <v>338</v>
      </c>
      <c r="C128" s="6"/>
      <c r="D128" s="6" t="s">
        <v>339</v>
      </c>
      <c r="E128" s="14">
        <f>E126*E127</f>
        <v>6000</v>
      </c>
    </row>
    <row r="129" spans="1:6" x14ac:dyDescent="0.25">
      <c r="B129" s="6" t="s">
        <v>340</v>
      </c>
      <c r="C129" s="6"/>
      <c r="D129" s="6" t="s">
        <v>337</v>
      </c>
      <c r="E129" s="29">
        <f>E128+E125+E124</f>
        <v>11793.156000000001</v>
      </c>
    </row>
    <row r="130" spans="1:6" x14ac:dyDescent="0.25">
      <c r="B130" s="6" t="s">
        <v>328</v>
      </c>
      <c r="C130" s="6"/>
      <c r="D130" s="6" t="s">
        <v>341</v>
      </c>
      <c r="E130" s="30">
        <f>(E124+E128)/E126</f>
        <v>0.57899999999999996</v>
      </c>
      <c r="F130" s="1" t="s">
        <v>342</v>
      </c>
    </row>
    <row r="131" spans="1:6" x14ac:dyDescent="0.25">
      <c r="B131" s="62"/>
      <c r="C131" s="62"/>
      <c r="D131" s="62"/>
      <c r="E131" s="29"/>
      <c r="F131" s="1" t="s">
        <v>343</v>
      </c>
    </row>
    <row r="132" spans="1:6" x14ac:dyDescent="0.25">
      <c r="B132" s="63" t="s">
        <v>521</v>
      </c>
      <c r="C132" s="63"/>
      <c r="D132" s="62"/>
      <c r="E132" s="29"/>
    </row>
    <row r="133" spans="1:6" x14ac:dyDescent="0.25">
      <c r="B133" s="63" t="s">
        <v>590</v>
      </c>
      <c r="C133" s="63"/>
      <c r="D133" s="62"/>
      <c r="E133" s="29"/>
    </row>
    <row r="135" spans="1:6" x14ac:dyDescent="0.25">
      <c r="A135" s="15">
        <v>4</v>
      </c>
      <c r="B135" s="15" t="s">
        <v>187</v>
      </c>
      <c r="C135" s="15"/>
    </row>
    <row r="136" spans="1:6" x14ac:dyDescent="0.25">
      <c r="B136" s="1" t="s">
        <v>188</v>
      </c>
    </row>
    <row r="137" spans="1:6" ht="30" customHeight="1" x14ac:dyDescent="0.25">
      <c r="B137" s="1" t="s">
        <v>190</v>
      </c>
      <c r="D137" s="130" t="s">
        <v>545</v>
      </c>
    </row>
    <row r="138" spans="1:6" x14ac:dyDescent="0.25">
      <c r="B138" s="1" t="s">
        <v>146</v>
      </c>
      <c r="D138" s="130"/>
    </row>
    <row r="139" spans="1:6" x14ac:dyDescent="0.25">
      <c r="B139" s="1" t="s">
        <v>193</v>
      </c>
      <c r="D139" s="130"/>
      <c r="E139" s="100">
        <v>45008</v>
      </c>
    </row>
    <row r="140" spans="1:6" x14ac:dyDescent="0.25">
      <c r="B140" s="1" t="s">
        <v>192</v>
      </c>
      <c r="D140" s="130"/>
    </row>
    <row r="141" spans="1:6" x14ac:dyDescent="0.25">
      <c r="B141" s="1" t="s">
        <v>189</v>
      </c>
      <c r="D141" s="130"/>
    </row>
    <row r="142" spans="1:6" x14ac:dyDescent="0.25">
      <c r="B142" s="1" t="s">
        <v>20</v>
      </c>
      <c r="D142" s="130"/>
    </row>
    <row r="143" spans="1:6" x14ac:dyDescent="0.25">
      <c r="B143" s="1" t="s">
        <v>53</v>
      </c>
      <c r="D143" s="130"/>
    </row>
    <row r="144" spans="1:6" x14ac:dyDescent="0.25">
      <c r="B144" s="1" t="s">
        <v>194</v>
      </c>
      <c r="D144" s="130"/>
    </row>
    <row r="146" spans="2:7" x14ac:dyDescent="0.25">
      <c r="B146" s="56" t="s">
        <v>238</v>
      </c>
      <c r="C146" s="56"/>
    </row>
    <row r="147" spans="2:7" x14ac:dyDescent="0.25">
      <c r="B147" s="31" t="s">
        <v>269</v>
      </c>
      <c r="C147" s="31"/>
    </row>
    <row r="148" spans="2:7" x14ac:dyDescent="0.25">
      <c r="B148" s="1" t="s">
        <v>239</v>
      </c>
    </row>
    <row r="149" spans="2:7" x14ac:dyDescent="0.25">
      <c r="B149" s="1" t="s">
        <v>240</v>
      </c>
    </row>
    <row r="150" spans="2:7" x14ac:dyDescent="0.25">
      <c r="B150" s="1" t="s">
        <v>241</v>
      </c>
    </row>
    <row r="151" spans="2:7" x14ac:dyDescent="0.25">
      <c r="B151" s="1" t="s">
        <v>242</v>
      </c>
    </row>
    <row r="152" spans="2:7" x14ac:dyDescent="0.25">
      <c r="B152" s="1" t="s">
        <v>243</v>
      </c>
    </row>
    <row r="154" spans="2:7" x14ac:dyDescent="0.25">
      <c r="B154" s="31" t="s">
        <v>244</v>
      </c>
      <c r="C154" s="31"/>
    </row>
    <row r="155" spans="2:7" x14ac:dyDescent="0.25">
      <c r="B155" s="6" t="s">
        <v>165</v>
      </c>
      <c r="C155" s="6"/>
      <c r="D155" s="6" t="s">
        <v>245</v>
      </c>
      <c r="E155" s="6" t="s">
        <v>250</v>
      </c>
    </row>
    <row r="156" spans="2:7" x14ac:dyDescent="0.25">
      <c r="B156" s="6" t="s">
        <v>182</v>
      </c>
      <c r="C156" s="6"/>
      <c r="D156" s="6" t="s">
        <v>181</v>
      </c>
      <c r="E156" s="6">
        <v>45</v>
      </c>
    </row>
    <row r="157" spans="2:7" x14ac:dyDescent="0.25">
      <c r="B157" s="6" t="s">
        <v>157</v>
      </c>
      <c r="C157" s="6"/>
      <c r="D157" s="6" t="s">
        <v>181</v>
      </c>
      <c r="E157" s="6" t="s">
        <v>159</v>
      </c>
    </row>
    <row r="158" spans="2:7" x14ac:dyDescent="0.25">
      <c r="B158" s="6" t="s">
        <v>252</v>
      </c>
      <c r="C158" s="6"/>
      <c r="D158" s="6" t="s">
        <v>253</v>
      </c>
      <c r="E158" s="6" t="s">
        <v>153</v>
      </c>
    </row>
    <row r="159" spans="2:7" ht="45" x14ac:dyDescent="0.25">
      <c r="B159" s="6" t="s">
        <v>246</v>
      </c>
      <c r="C159" s="6"/>
      <c r="D159" s="7" t="s">
        <v>247</v>
      </c>
      <c r="E159" s="6">
        <v>45</v>
      </c>
    </row>
    <row r="160" spans="2:7" x14ac:dyDescent="0.25">
      <c r="B160" s="6" t="s">
        <v>107</v>
      </c>
      <c r="C160" s="6"/>
      <c r="D160" s="6" t="s">
        <v>181</v>
      </c>
      <c r="E160" s="6">
        <v>10000</v>
      </c>
      <c r="G160" s="1" t="s">
        <v>455</v>
      </c>
    </row>
    <row r="161" spans="2:5" ht="30" x14ac:dyDescent="0.25">
      <c r="B161" s="6" t="s">
        <v>248</v>
      </c>
      <c r="C161" s="6"/>
      <c r="D161" s="7" t="s">
        <v>249</v>
      </c>
      <c r="E161" s="47">
        <f>E160/21.67</f>
        <v>461.46746654360862</v>
      </c>
    </row>
    <row r="162" spans="2:5" ht="30" x14ac:dyDescent="0.25">
      <c r="B162" s="6" t="s">
        <v>251</v>
      </c>
      <c r="C162" s="6"/>
      <c r="D162" s="7" t="s">
        <v>254</v>
      </c>
      <c r="E162" s="48">
        <f>E161*E159</f>
        <v>20766.035994462389</v>
      </c>
    </row>
    <row r="164" spans="2:5" x14ac:dyDescent="0.25">
      <c r="B164" s="26" t="s">
        <v>256</v>
      </c>
      <c r="C164" s="26"/>
    </row>
    <row r="165" spans="2:5" x14ac:dyDescent="0.25">
      <c r="B165" s="31" t="s">
        <v>269</v>
      </c>
      <c r="C165" s="31"/>
    </row>
    <row r="166" spans="2:5" x14ac:dyDescent="0.25">
      <c r="B166" s="1" t="s">
        <v>259</v>
      </c>
    </row>
    <row r="167" spans="2:5" x14ac:dyDescent="0.25">
      <c r="B167" s="1" t="s">
        <v>257</v>
      </c>
    </row>
    <row r="168" spans="2:5" x14ac:dyDescent="0.25">
      <c r="B168" s="49">
        <v>1</v>
      </c>
      <c r="C168" s="49"/>
      <c r="D168" s="49" t="s">
        <v>272</v>
      </c>
    </row>
    <row r="169" spans="2:5" x14ac:dyDescent="0.25">
      <c r="B169" s="49">
        <v>2</v>
      </c>
      <c r="C169" s="49"/>
      <c r="D169" s="49" t="s">
        <v>273</v>
      </c>
    </row>
    <row r="170" spans="2:5" x14ac:dyDescent="0.25">
      <c r="B170" s="49">
        <v>3</v>
      </c>
      <c r="C170" s="49"/>
      <c r="D170" s="49" t="s">
        <v>258</v>
      </c>
    </row>
    <row r="172" spans="2:5" x14ac:dyDescent="0.25">
      <c r="B172" s="49" t="s">
        <v>260</v>
      </c>
      <c r="C172" s="49"/>
      <c r="D172" s="49"/>
      <c r="E172" s="49"/>
    </row>
    <row r="173" spans="2:5" x14ac:dyDescent="0.25">
      <c r="B173" s="49" t="s">
        <v>261</v>
      </c>
      <c r="C173" s="49"/>
      <c r="D173" s="49"/>
      <c r="E173" s="49"/>
    </row>
    <row r="174" spans="2:5" x14ac:dyDescent="0.25">
      <c r="B174" s="49" t="s">
        <v>262</v>
      </c>
      <c r="C174" s="49"/>
      <c r="D174" s="49"/>
      <c r="E174" s="49"/>
    </row>
    <row r="175" spans="2:5" x14ac:dyDescent="0.25">
      <c r="B175" s="49" t="s">
        <v>263</v>
      </c>
      <c r="C175" s="49"/>
      <c r="D175" s="49"/>
      <c r="E175" s="49"/>
    </row>
    <row r="176" spans="2:5" x14ac:dyDescent="0.25">
      <c r="B176" s="49" t="s">
        <v>264</v>
      </c>
      <c r="C176" s="49"/>
      <c r="D176" s="49"/>
      <c r="E176" s="49"/>
    </row>
    <row r="177" spans="2:6" x14ac:dyDescent="0.25">
      <c r="B177" s="50" t="s">
        <v>265</v>
      </c>
      <c r="C177" s="50"/>
      <c r="D177" s="51"/>
      <c r="E177" s="51"/>
    </row>
    <row r="178" spans="2:6" x14ac:dyDescent="0.25">
      <c r="B178" s="51" t="s">
        <v>266</v>
      </c>
      <c r="C178" s="51"/>
      <c r="D178" s="52" t="s">
        <v>267</v>
      </c>
      <c r="E178" s="52" t="s">
        <v>3</v>
      </c>
    </row>
    <row r="179" spans="2:6" x14ac:dyDescent="0.25">
      <c r="B179" s="51">
        <v>1</v>
      </c>
      <c r="C179" s="51"/>
      <c r="D179" s="51">
        <v>0</v>
      </c>
      <c r="E179" s="51">
        <v>0</v>
      </c>
    </row>
    <row r="180" spans="2:6" x14ac:dyDescent="0.25">
      <c r="B180" s="51">
        <v>50</v>
      </c>
      <c r="C180" s="51"/>
      <c r="D180" s="53">
        <v>0.3</v>
      </c>
      <c r="E180" s="53">
        <v>0.3</v>
      </c>
    </row>
    <row r="181" spans="2:6" x14ac:dyDescent="0.25">
      <c r="B181" s="51">
        <v>51</v>
      </c>
      <c r="C181" s="51"/>
      <c r="D181" s="53">
        <v>0.4</v>
      </c>
      <c r="E181" s="53">
        <v>0.4</v>
      </c>
    </row>
    <row r="182" spans="2:6" x14ac:dyDescent="0.25">
      <c r="B182" s="51">
        <v>52</v>
      </c>
      <c r="C182" s="51"/>
      <c r="D182" s="53">
        <v>0.5</v>
      </c>
      <c r="E182" s="53">
        <v>0.5</v>
      </c>
    </row>
    <row r="183" spans="2:6" x14ac:dyDescent="0.25">
      <c r="B183" s="51">
        <v>53</v>
      </c>
      <c r="C183" s="51"/>
      <c r="D183" s="53">
        <v>0.6</v>
      </c>
      <c r="E183" s="53">
        <v>0.6</v>
      </c>
    </row>
    <row r="184" spans="2:6" x14ac:dyDescent="0.25">
      <c r="B184" s="51">
        <v>54</v>
      </c>
      <c r="C184" s="51"/>
      <c r="D184" s="53">
        <v>0.7</v>
      </c>
      <c r="E184" s="53">
        <v>0.7</v>
      </c>
    </row>
    <row r="185" spans="2:6" x14ac:dyDescent="0.25">
      <c r="B185" s="51">
        <v>55</v>
      </c>
      <c r="C185" s="51"/>
      <c r="D185" s="54">
        <f>IF(YEAR('[1]חישוב זכויות פנסיה תקציבית'!D154)&lt;1966,100%,80%)</f>
        <v>1</v>
      </c>
      <c r="E185" s="54">
        <v>0.8</v>
      </c>
    </row>
    <row r="186" spans="2:6" x14ac:dyDescent="0.25">
      <c r="B186" s="51">
        <v>56</v>
      </c>
      <c r="C186" s="51"/>
      <c r="D186" s="54">
        <f>IF(YEAR('[1]חישוב זכויות פנסיה תקציבית'!D154)&lt;1966,100%,90%)</f>
        <v>1</v>
      </c>
      <c r="E186" s="54">
        <v>0.9</v>
      </c>
    </row>
    <row r="187" spans="2:6" x14ac:dyDescent="0.25">
      <c r="B187" s="51">
        <v>57</v>
      </c>
      <c r="C187" s="51"/>
      <c r="D187" s="53">
        <v>1</v>
      </c>
      <c r="E187" s="53">
        <v>1</v>
      </c>
    </row>
    <row r="189" spans="2:6" x14ac:dyDescent="0.25">
      <c r="B189" s="31" t="s">
        <v>270</v>
      </c>
      <c r="C189" s="31"/>
    </row>
    <row r="190" spans="2:6" x14ac:dyDescent="0.25">
      <c r="B190" s="6" t="s">
        <v>165</v>
      </c>
      <c r="C190" s="6"/>
      <c r="D190" s="6" t="s">
        <v>245</v>
      </c>
      <c r="E190" s="6" t="s">
        <v>250</v>
      </c>
    </row>
    <row r="191" spans="2:6" ht="90" x14ac:dyDescent="0.25">
      <c r="B191" s="6" t="s">
        <v>271</v>
      </c>
      <c r="C191" s="6"/>
      <c r="D191" s="7" t="s">
        <v>274</v>
      </c>
      <c r="E191" s="6" t="s">
        <v>275</v>
      </c>
    </row>
    <row r="192" spans="2:6" ht="75" x14ac:dyDescent="0.25">
      <c r="B192" s="6" t="s">
        <v>276</v>
      </c>
      <c r="C192" s="6"/>
      <c r="D192" s="7" t="s">
        <v>277</v>
      </c>
      <c r="E192" s="6">
        <f>31*30*80%</f>
        <v>744</v>
      </c>
      <c r="F192" s="1" t="s">
        <v>278</v>
      </c>
    </row>
    <row r="193" spans="2:6" x14ac:dyDescent="0.25">
      <c r="B193" s="6" t="s">
        <v>279</v>
      </c>
      <c r="C193" s="6"/>
      <c r="D193" s="6" t="s">
        <v>280</v>
      </c>
      <c r="E193" s="6">
        <v>400</v>
      </c>
    </row>
    <row r="194" spans="2:6" x14ac:dyDescent="0.25">
      <c r="B194" s="6" t="s">
        <v>281</v>
      </c>
      <c r="C194" s="6"/>
      <c r="D194" s="7" t="s">
        <v>282</v>
      </c>
      <c r="E194" s="6">
        <f>E192-E193</f>
        <v>344</v>
      </c>
    </row>
    <row r="195" spans="2:6" x14ac:dyDescent="0.25">
      <c r="B195" s="6" t="s">
        <v>283</v>
      </c>
      <c r="C195" s="6"/>
      <c r="D195" s="6" t="s">
        <v>284</v>
      </c>
      <c r="E195" s="55">
        <f>E194/E192</f>
        <v>0.46236559139784944</v>
      </c>
    </row>
    <row r="196" spans="2:6" ht="60" x14ac:dyDescent="0.25">
      <c r="B196" s="6" t="s">
        <v>285</v>
      </c>
      <c r="C196" s="6"/>
      <c r="D196" s="7" t="s">
        <v>286</v>
      </c>
      <c r="E196" s="47">
        <v>6</v>
      </c>
    </row>
    <row r="197" spans="2:6" ht="30" x14ac:dyDescent="0.25">
      <c r="B197" s="6" t="s">
        <v>287</v>
      </c>
      <c r="C197" s="6"/>
      <c r="D197" s="7" t="s">
        <v>288</v>
      </c>
      <c r="E197" s="48">
        <f>E193/30*E196</f>
        <v>80</v>
      </c>
    </row>
    <row r="198" spans="2:6" x14ac:dyDescent="0.25">
      <c r="B198" s="6" t="s">
        <v>292</v>
      </c>
      <c r="C198" s="6"/>
      <c r="D198" s="6" t="s">
        <v>290</v>
      </c>
      <c r="E198" s="6">
        <v>11500</v>
      </c>
      <c r="F198" s="1" t="s">
        <v>289</v>
      </c>
    </row>
    <row r="199" spans="2:6" x14ac:dyDescent="0.25">
      <c r="B199" s="6" t="s">
        <v>248</v>
      </c>
      <c r="C199" s="6"/>
      <c r="D199" s="6" t="s">
        <v>291</v>
      </c>
      <c r="E199" s="6">
        <f>E198/25</f>
        <v>460</v>
      </c>
    </row>
    <row r="200" spans="2:6" ht="45" x14ac:dyDescent="0.25">
      <c r="B200" s="6" t="s">
        <v>293</v>
      </c>
      <c r="C200" s="6"/>
      <c r="D200" s="7" t="s">
        <v>294</v>
      </c>
      <c r="E200" s="40">
        <v>1</v>
      </c>
    </row>
    <row r="201" spans="2:6" x14ac:dyDescent="0.25">
      <c r="B201" s="6" t="s">
        <v>295</v>
      </c>
      <c r="C201" s="6"/>
      <c r="D201" s="6" t="s">
        <v>296</v>
      </c>
      <c r="E201" s="48">
        <f>E200*E197*E199</f>
        <v>36800</v>
      </c>
    </row>
    <row r="202" spans="2:6" x14ac:dyDescent="0.25">
      <c r="B202" s="62"/>
      <c r="C202" s="62"/>
      <c r="D202" s="62"/>
      <c r="E202" s="83"/>
    </row>
    <row r="203" spans="2:6" x14ac:dyDescent="0.25">
      <c r="B203" s="62" t="s">
        <v>456</v>
      </c>
      <c r="C203" s="62"/>
      <c r="D203" s="62"/>
      <c r="E203" s="83"/>
    </row>
    <row r="204" spans="2:6" x14ac:dyDescent="0.25">
      <c r="B204" s="62" t="s">
        <v>463</v>
      </c>
      <c r="C204" s="62"/>
      <c r="D204" s="62"/>
      <c r="E204" s="83"/>
    </row>
    <row r="205" spans="2:6" x14ac:dyDescent="0.25">
      <c r="B205" s="62" t="s">
        <v>464</v>
      </c>
      <c r="C205" s="62"/>
      <c r="D205" s="62"/>
      <c r="E205" s="83"/>
    </row>
    <row r="206" spans="2:6" x14ac:dyDescent="0.25">
      <c r="B206" s="62" t="s">
        <v>465</v>
      </c>
      <c r="C206" s="62"/>
      <c r="D206" s="62"/>
      <c r="E206" s="83"/>
    </row>
    <row r="207" spans="2:6" x14ac:dyDescent="0.25">
      <c r="B207" s="62"/>
      <c r="C207" s="62"/>
      <c r="D207" s="62"/>
      <c r="E207" s="83"/>
    </row>
    <row r="208" spans="2:6" x14ac:dyDescent="0.25">
      <c r="B208" s="31" t="s">
        <v>466</v>
      </c>
      <c r="C208" s="31"/>
    </row>
    <row r="209" spans="2:5" x14ac:dyDescent="0.25">
      <c r="B209" s="6" t="s">
        <v>165</v>
      </c>
      <c r="C209" s="6"/>
      <c r="D209" s="6" t="s">
        <v>245</v>
      </c>
      <c r="E209" s="6" t="s">
        <v>250</v>
      </c>
    </row>
    <row r="210" spans="2:5" ht="90" x14ac:dyDescent="0.25">
      <c r="B210" s="6" t="s">
        <v>271</v>
      </c>
      <c r="C210" s="6"/>
      <c r="D210" s="7" t="s">
        <v>274</v>
      </c>
      <c r="E210" s="6" t="s">
        <v>275</v>
      </c>
    </row>
    <row r="211" spans="2:5" ht="30" x14ac:dyDescent="0.25">
      <c r="B211" s="6" t="s">
        <v>467</v>
      </c>
      <c r="C211" s="6"/>
      <c r="D211" s="7" t="s">
        <v>468</v>
      </c>
      <c r="E211" s="6">
        <v>600</v>
      </c>
    </row>
    <row r="212" spans="2:5" ht="30" x14ac:dyDescent="0.25">
      <c r="B212" s="6" t="s">
        <v>469</v>
      </c>
      <c r="C212" s="6"/>
      <c r="D212" s="7" t="s">
        <v>470</v>
      </c>
      <c r="E212" s="6">
        <v>300</v>
      </c>
    </row>
    <row r="213" spans="2:5" x14ac:dyDescent="0.25">
      <c r="B213" s="6" t="s">
        <v>471</v>
      </c>
      <c r="C213" s="6"/>
      <c r="D213" s="7" t="s">
        <v>472</v>
      </c>
      <c r="E213" s="6">
        <f>E212+E211</f>
        <v>900</v>
      </c>
    </row>
    <row r="214" spans="2:5" x14ac:dyDescent="0.25">
      <c r="B214" s="6" t="s">
        <v>279</v>
      </c>
      <c r="C214" s="6"/>
      <c r="D214" s="6" t="s">
        <v>280</v>
      </c>
      <c r="E214" s="6">
        <v>400</v>
      </c>
    </row>
    <row r="215" spans="2:5" x14ac:dyDescent="0.25">
      <c r="B215" s="6" t="s">
        <v>281</v>
      </c>
      <c r="C215" s="6"/>
      <c r="D215" s="7" t="s">
        <v>282</v>
      </c>
      <c r="E215" s="6">
        <f>E213-E214</f>
        <v>500</v>
      </c>
    </row>
    <row r="216" spans="2:5" x14ac:dyDescent="0.25">
      <c r="B216" s="6" t="s">
        <v>283</v>
      </c>
      <c r="C216" s="6"/>
      <c r="D216" s="6" t="s">
        <v>284</v>
      </c>
      <c r="E216" s="55">
        <f>E215/E213</f>
        <v>0.55555555555555558</v>
      </c>
    </row>
    <row r="217" spans="2:5" ht="60" x14ac:dyDescent="0.25">
      <c r="B217" s="6" t="s">
        <v>285</v>
      </c>
      <c r="C217" s="6"/>
      <c r="D217" s="7" t="s">
        <v>286</v>
      </c>
      <c r="E217" s="47">
        <v>6</v>
      </c>
    </row>
    <row r="218" spans="2:5" x14ac:dyDescent="0.25">
      <c r="B218" s="6" t="s">
        <v>473</v>
      </c>
      <c r="C218" s="6"/>
      <c r="D218" s="7" t="s">
        <v>474</v>
      </c>
      <c r="E218" s="47">
        <v>300</v>
      </c>
    </row>
    <row r="219" spans="2:5" ht="30" x14ac:dyDescent="0.25">
      <c r="B219" s="6" t="s">
        <v>475</v>
      </c>
      <c r="C219" s="6"/>
      <c r="D219" s="7" t="s">
        <v>476</v>
      </c>
      <c r="E219" s="47">
        <f>E218/30*6</f>
        <v>60</v>
      </c>
    </row>
    <row r="220" spans="2:5" x14ac:dyDescent="0.25">
      <c r="B220" s="6" t="s">
        <v>479</v>
      </c>
      <c r="C220" s="6"/>
      <c r="D220" s="6" t="s">
        <v>290</v>
      </c>
      <c r="E220" s="6">
        <v>11500</v>
      </c>
    </row>
    <row r="221" spans="2:5" x14ac:dyDescent="0.25">
      <c r="B221" s="6" t="s">
        <v>481</v>
      </c>
      <c r="C221" s="6"/>
      <c r="D221" s="7" t="s">
        <v>482</v>
      </c>
      <c r="E221" s="47">
        <f>E220/25</f>
        <v>460</v>
      </c>
    </row>
    <row r="222" spans="2:5" x14ac:dyDescent="0.25">
      <c r="B222" s="6" t="s">
        <v>483</v>
      </c>
      <c r="C222" s="6"/>
      <c r="D222" s="7" t="s">
        <v>484</v>
      </c>
      <c r="E222" s="47">
        <f>E221*E219</f>
        <v>27600</v>
      </c>
    </row>
    <row r="223" spans="2:5" ht="30" x14ac:dyDescent="0.25">
      <c r="B223" s="6" t="s">
        <v>477</v>
      </c>
      <c r="C223" s="6"/>
      <c r="D223" s="84" t="s">
        <v>478</v>
      </c>
      <c r="E223" s="48">
        <f>(E214-E218)/30*6</f>
        <v>20</v>
      </c>
    </row>
    <row r="224" spans="2:5" x14ac:dyDescent="0.25">
      <c r="B224" s="6" t="s">
        <v>480</v>
      </c>
      <c r="C224" s="6"/>
      <c r="D224" s="6" t="s">
        <v>290</v>
      </c>
      <c r="E224" s="6">
        <v>25000</v>
      </c>
    </row>
    <row r="225" spans="2:7" x14ac:dyDescent="0.25">
      <c r="B225" s="6" t="s">
        <v>248</v>
      </c>
      <c r="C225" s="6"/>
      <c r="D225" s="6" t="s">
        <v>291</v>
      </c>
      <c r="E225" s="6">
        <f>E224/25</f>
        <v>1000</v>
      </c>
    </row>
    <row r="226" spans="2:7" x14ac:dyDescent="0.25">
      <c r="B226" s="6" t="s">
        <v>485</v>
      </c>
      <c r="C226" s="6"/>
      <c r="D226" s="7" t="s">
        <v>484</v>
      </c>
      <c r="E226" s="48">
        <f>E225*E223</f>
        <v>20000</v>
      </c>
    </row>
    <row r="227" spans="2:7" x14ac:dyDescent="0.25">
      <c r="B227" s="6" t="s">
        <v>486</v>
      </c>
      <c r="C227" s="6"/>
      <c r="D227" s="7" t="s">
        <v>487</v>
      </c>
      <c r="E227" s="48">
        <f>E226+E222</f>
        <v>47600</v>
      </c>
    </row>
    <row r="228" spans="2:7" ht="45" x14ac:dyDescent="0.25">
      <c r="B228" s="6" t="s">
        <v>293</v>
      </c>
      <c r="C228" s="6"/>
      <c r="D228" s="7" t="s">
        <v>294</v>
      </c>
      <c r="E228" s="40">
        <v>1</v>
      </c>
    </row>
    <row r="229" spans="2:7" x14ac:dyDescent="0.25">
      <c r="B229" s="6" t="s">
        <v>295</v>
      </c>
      <c r="C229" s="6"/>
      <c r="D229" s="6" t="s">
        <v>296</v>
      </c>
      <c r="E229" s="48">
        <f>E227*E228</f>
        <v>47600</v>
      </c>
    </row>
    <row r="230" spans="2:7" x14ac:dyDescent="0.25">
      <c r="B230" s="62"/>
      <c r="C230" s="62"/>
      <c r="D230" s="62"/>
      <c r="E230" s="83"/>
    </row>
    <row r="232" spans="2:7" x14ac:dyDescent="0.25">
      <c r="B232" s="26" t="s">
        <v>297</v>
      </c>
      <c r="C232" s="26"/>
    </row>
    <row r="233" spans="2:7" x14ac:dyDescent="0.25">
      <c r="B233" s="31" t="s">
        <v>269</v>
      </c>
      <c r="C233" s="31"/>
    </row>
    <row r="234" spans="2:7" x14ac:dyDescent="0.25">
      <c r="B234" s="49" t="s">
        <v>298</v>
      </c>
      <c r="C234" s="49"/>
    </row>
    <row r="235" spans="2:7" x14ac:dyDescent="0.25">
      <c r="B235" s="49" t="s">
        <v>299</v>
      </c>
      <c r="C235" s="49"/>
    </row>
    <row r="236" spans="2:7" x14ac:dyDescent="0.25">
      <c r="B236" s="49" t="s">
        <v>300</v>
      </c>
      <c r="C236" s="49"/>
      <c r="D236" s="49" t="s">
        <v>301</v>
      </c>
    </row>
    <row r="237" spans="2:7" x14ac:dyDescent="0.25">
      <c r="B237" s="49" t="s">
        <v>302</v>
      </c>
      <c r="C237" s="49"/>
      <c r="D237" s="49"/>
    </row>
    <row r="239" spans="2:7" x14ac:dyDescent="0.25">
      <c r="B239" s="49" t="s">
        <v>213</v>
      </c>
      <c r="C239" s="49"/>
      <c r="D239" s="49"/>
      <c r="E239" s="49"/>
      <c r="F239" s="49"/>
      <c r="G239" s="49"/>
    </row>
    <row r="240" spans="2:7" x14ac:dyDescent="0.25">
      <c r="B240" s="49" t="s">
        <v>303</v>
      </c>
      <c r="C240" s="49"/>
      <c r="D240" s="49"/>
      <c r="E240" s="49"/>
      <c r="F240" s="49"/>
      <c r="G240" s="49"/>
    </row>
    <row r="241" spans="2:7" x14ac:dyDescent="0.25">
      <c r="B241" s="49" t="s">
        <v>304</v>
      </c>
      <c r="C241" s="49"/>
      <c r="D241" s="49" t="s">
        <v>305</v>
      </c>
      <c r="E241" s="49">
        <f>38*2</f>
        <v>76</v>
      </c>
      <c r="F241" s="49" t="s">
        <v>306</v>
      </c>
      <c r="G241" s="49"/>
    </row>
    <row r="242" spans="2:7" x14ac:dyDescent="0.25">
      <c r="B242" s="49" t="s">
        <v>307</v>
      </c>
      <c r="C242" s="49"/>
      <c r="D242" s="49"/>
      <c r="E242" s="59">
        <v>0.76</v>
      </c>
      <c r="F242" s="49"/>
      <c r="G242" s="49"/>
    </row>
    <row r="243" spans="2:7" x14ac:dyDescent="0.25">
      <c r="B243" s="49"/>
      <c r="C243" s="49"/>
      <c r="D243" s="49"/>
      <c r="E243" s="59">
        <v>0.7</v>
      </c>
      <c r="F243" s="49"/>
      <c r="G243" s="49"/>
    </row>
    <row r="244" spans="2:7" x14ac:dyDescent="0.25">
      <c r="B244" s="49"/>
      <c r="C244" s="49"/>
      <c r="D244" s="49"/>
      <c r="E244" s="59">
        <f>E242-E243</f>
        <v>6.0000000000000053E-2</v>
      </c>
      <c r="F244" s="49" t="s">
        <v>308</v>
      </c>
      <c r="G244" s="49"/>
    </row>
    <row r="245" spans="2:7" x14ac:dyDescent="0.25">
      <c r="B245" s="49"/>
      <c r="C245" s="49"/>
      <c r="D245" s="49"/>
      <c r="E245" s="60">
        <f>E244/2%</f>
        <v>3.0000000000000027</v>
      </c>
      <c r="F245" s="49" t="s">
        <v>309</v>
      </c>
      <c r="G245" s="49"/>
    </row>
    <row r="246" spans="2:7" x14ac:dyDescent="0.25">
      <c r="B246" s="49"/>
      <c r="C246" s="49"/>
      <c r="D246" s="49" t="s">
        <v>310</v>
      </c>
      <c r="E246" s="61">
        <v>12000</v>
      </c>
      <c r="F246" s="49" t="s">
        <v>311</v>
      </c>
      <c r="G246" s="49"/>
    </row>
    <row r="247" spans="2:7" x14ac:dyDescent="0.25">
      <c r="B247" s="49"/>
      <c r="C247" s="49"/>
      <c r="D247" s="49" t="s">
        <v>312</v>
      </c>
      <c r="E247" s="49">
        <f>E246*E245</f>
        <v>36000.000000000029</v>
      </c>
      <c r="F247" s="49"/>
      <c r="G247" s="49"/>
    </row>
    <row r="249" spans="2:7" x14ac:dyDescent="0.25">
      <c r="B249" s="1" t="s">
        <v>313</v>
      </c>
    </row>
    <row r="250" spans="2:7" x14ac:dyDescent="0.25">
      <c r="B250" s="1" t="s">
        <v>344</v>
      </c>
    </row>
    <row r="252" spans="2:7" x14ac:dyDescent="0.25">
      <c r="B252" s="31" t="s">
        <v>488</v>
      </c>
      <c r="C252" s="31"/>
    </row>
    <row r="253" spans="2:7" x14ac:dyDescent="0.25">
      <c r="B253" s="6" t="s">
        <v>165</v>
      </c>
      <c r="C253" s="6"/>
      <c r="D253" s="6" t="s">
        <v>245</v>
      </c>
      <c r="E253" s="6" t="s">
        <v>250</v>
      </c>
    </row>
    <row r="254" spans="2:7" ht="30" x14ac:dyDescent="0.25">
      <c r="B254" s="6" t="s">
        <v>345</v>
      </c>
      <c r="C254" s="6"/>
      <c r="D254" s="7" t="s">
        <v>346</v>
      </c>
      <c r="E254" s="6" t="s">
        <v>275</v>
      </c>
    </row>
    <row r="255" spans="2:7" ht="45" x14ac:dyDescent="0.25">
      <c r="B255" s="6" t="s">
        <v>347</v>
      </c>
      <c r="C255" s="6"/>
      <c r="D255" s="7" t="s">
        <v>348</v>
      </c>
      <c r="E255" s="6">
        <v>3</v>
      </c>
    </row>
    <row r="256" spans="2:7" x14ac:dyDescent="0.25">
      <c r="B256" s="6" t="s">
        <v>107</v>
      </c>
      <c r="C256" s="6"/>
      <c r="D256" s="6" t="s">
        <v>349</v>
      </c>
      <c r="E256" s="6">
        <v>11500</v>
      </c>
    </row>
    <row r="257" spans="2:13" x14ac:dyDescent="0.25">
      <c r="B257" s="6" t="s">
        <v>312</v>
      </c>
      <c r="C257" s="6"/>
      <c r="D257" s="7" t="s">
        <v>350</v>
      </c>
      <c r="E257" s="6">
        <f>E256*E255</f>
        <v>34500</v>
      </c>
    </row>
    <row r="259" spans="2:13" x14ac:dyDescent="0.25">
      <c r="B259" s="26" t="s">
        <v>430</v>
      </c>
      <c r="C259" s="26"/>
    </row>
    <row r="260" spans="2:13" x14ac:dyDescent="0.25">
      <c r="B260" s="31" t="s">
        <v>269</v>
      </c>
      <c r="C260" s="31"/>
    </row>
    <row r="261" spans="2:13" x14ac:dyDescent="0.25">
      <c r="B261" s="1" t="s">
        <v>351</v>
      </c>
    </row>
    <row r="262" spans="2:13" x14ac:dyDescent="0.25">
      <c r="B262" s="44" t="s">
        <v>352</v>
      </c>
      <c r="C262" s="44"/>
      <c r="F262" s="49"/>
      <c r="G262" s="49"/>
      <c r="H262" s="49"/>
      <c r="I262" s="49"/>
      <c r="J262" s="49"/>
      <c r="K262" s="49"/>
      <c r="L262" s="49"/>
      <c r="M262" s="49"/>
    </row>
    <row r="263" spans="2:13" x14ac:dyDescent="0.25">
      <c r="B263" s="1" t="s">
        <v>353</v>
      </c>
      <c r="F263" s="49"/>
      <c r="G263" s="49"/>
      <c r="H263" s="49"/>
      <c r="I263" s="49"/>
      <c r="J263" s="49"/>
      <c r="K263" s="49"/>
      <c r="L263" s="49"/>
      <c r="M263" s="49"/>
    </row>
    <row r="264" spans="2:13" x14ac:dyDescent="0.25">
      <c r="B264" s="1" t="s">
        <v>354</v>
      </c>
      <c r="F264" s="49"/>
      <c r="G264" s="49"/>
      <c r="H264" s="49"/>
      <c r="I264" s="49"/>
      <c r="J264" s="49"/>
      <c r="K264" s="49"/>
      <c r="L264" s="49"/>
      <c r="M264" s="49"/>
    </row>
    <row r="265" spans="2:13" x14ac:dyDescent="0.25">
      <c r="B265" s="1" t="s">
        <v>355</v>
      </c>
      <c r="F265" s="49"/>
      <c r="G265" s="49"/>
      <c r="H265" s="49"/>
      <c r="I265" s="49"/>
      <c r="J265" s="49"/>
      <c r="K265" s="49"/>
      <c r="L265" s="49"/>
      <c r="M265" s="49"/>
    </row>
    <row r="266" spans="2:13" x14ac:dyDescent="0.25">
      <c r="B266" s="25" t="s">
        <v>360</v>
      </c>
      <c r="C266" s="25"/>
      <c r="E266" s="33"/>
      <c r="F266" s="66"/>
      <c r="G266" s="49"/>
      <c r="H266" s="49"/>
      <c r="I266" s="66"/>
      <c r="J266" s="49"/>
      <c r="K266" s="49"/>
      <c r="L266" s="49"/>
      <c r="M266" s="49"/>
    </row>
    <row r="267" spans="2:13" x14ac:dyDescent="0.25">
      <c r="B267" s="25" t="s">
        <v>361</v>
      </c>
      <c r="C267" s="25"/>
      <c r="E267" s="33"/>
      <c r="F267" s="66"/>
      <c r="G267" s="49"/>
      <c r="H267" s="49" t="s">
        <v>356</v>
      </c>
      <c r="I267" s="49"/>
      <c r="J267" s="49"/>
      <c r="L267" s="49"/>
      <c r="M267" s="49"/>
    </row>
    <row r="268" spans="2:13" x14ac:dyDescent="0.25">
      <c r="B268" s="25" t="s">
        <v>357</v>
      </c>
      <c r="C268" s="25"/>
      <c r="E268" s="1" t="s">
        <v>362</v>
      </c>
      <c r="F268" s="49"/>
      <c r="G268" s="49"/>
      <c r="H268" s="49"/>
      <c r="I268" s="49"/>
      <c r="J268" s="49"/>
      <c r="K268" s="49"/>
      <c r="L268" s="49"/>
      <c r="M268" s="49"/>
    </row>
    <row r="269" spans="2:13" x14ac:dyDescent="0.25">
      <c r="B269" s="1" t="s">
        <v>358</v>
      </c>
      <c r="F269" s="49"/>
      <c r="G269" s="49"/>
      <c r="H269" s="49"/>
      <c r="I269" s="49"/>
      <c r="J269" s="49"/>
      <c r="K269" s="49"/>
      <c r="L269" s="49"/>
      <c r="M269" s="49"/>
    </row>
    <row r="270" spans="2:13" x14ac:dyDescent="0.25">
      <c r="B270" s="33" t="s">
        <v>359</v>
      </c>
      <c r="C270" s="33"/>
      <c r="F270" s="49"/>
      <c r="G270" s="49"/>
      <c r="H270" s="49"/>
      <c r="I270" s="49"/>
      <c r="J270" s="49"/>
      <c r="K270" s="49"/>
      <c r="L270" s="49"/>
      <c r="M270" s="49"/>
    </row>
    <row r="271" spans="2:13" x14ac:dyDescent="0.25">
      <c r="B271" s="1" t="s">
        <v>367</v>
      </c>
      <c r="D271" s="1" t="s">
        <v>396</v>
      </c>
    </row>
    <row r="272" spans="2:13" x14ac:dyDescent="0.25">
      <c r="B272" s="1" t="s">
        <v>394</v>
      </c>
      <c r="D272" s="1" t="s">
        <v>403</v>
      </c>
    </row>
    <row r="273" spans="2:4" x14ac:dyDescent="0.25">
      <c r="B273" s="1" t="s">
        <v>393</v>
      </c>
      <c r="D273" s="1" t="s">
        <v>395</v>
      </c>
    </row>
    <row r="274" spans="2:4" x14ac:dyDescent="0.25">
      <c r="B274" s="1" t="s">
        <v>213</v>
      </c>
    </row>
    <row r="275" spans="2:4" x14ac:dyDescent="0.25">
      <c r="B275" s="1" t="s">
        <v>368</v>
      </c>
    </row>
    <row r="276" spans="2:4" x14ac:dyDescent="0.25">
      <c r="B276" s="1" t="s">
        <v>404</v>
      </c>
    </row>
    <row r="277" spans="2:4" x14ac:dyDescent="0.25">
      <c r="B277" s="1" t="s">
        <v>369</v>
      </c>
      <c r="D277" s="1" t="s">
        <v>397</v>
      </c>
    </row>
    <row r="278" spans="2:4" x14ac:dyDescent="0.25">
      <c r="B278" s="1" t="s">
        <v>372</v>
      </c>
      <c r="D278" s="1" t="s">
        <v>371</v>
      </c>
    </row>
    <row r="279" spans="2:4" x14ac:dyDescent="0.25">
      <c r="B279" s="1" t="s">
        <v>398</v>
      </c>
    </row>
    <row r="280" spans="2:4" x14ac:dyDescent="0.25">
      <c r="B280" s="1" t="s">
        <v>380</v>
      </c>
      <c r="D280" s="1" t="s">
        <v>381</v>
      </c>
    </row>
    <row r="281" spans="2:4" x14ac:dyDescent="0.25">
      <c r="B281" s="1" t="s">
        <v>399</v>
      </c>
    </row>
    <row r="282" spans="2:4" x14ac:dyDescent="0.25">
      <c r="B282" s="1" t="s">
        <v>382</v>
      </c>
      <c r="D282" s="1" t="s">
        <v>383</v>
      </c>
    </row>
    <row r="284" spans="2:4" x14ac:dyDescent="0.25">
      <c r="B284" s="1" t="s">
        <v>385</v>
      </c>
    </row>
    <row r="285" spans="2:4" x14ac:dyDescent="0.25">
      <c r="B285" s="1" t="s">
        <v>388</v>
      </c>
    </row>
    <row r="286" spans="2:4" x14ac:dyDescent="0.25">
      <c r="B286" s="1" t="s">
        <v>386</v>
      </c>
    </row>
    <row r="287" spans="2:4" x14ac:dyDescent="0.25">
      <c r="B287" s="1" t="s">
        <v>387</v>
      </c>
    </row>
    <row r="288" spans="2:4" x14ac:dyDescent="0.25">
      <c r="B288" s="1" t="s">
        <v>389</v>
      </c>
    </row>
    <row r="290" spans="2:4" x14ac:dyDescent="0.25">
      <c r="B290" s="1" t="s">
        <v>390</v>
      </c>
    </row>
    <row r="291" spans="2:4" x14ac:dyDescent="0.25">
      <c r="B291" s="1" t="s">
        <v>391</v>
      </c>
    </row>
    <row r="292" spans="2:4" x14ac:dyDescent="0.25">
      <c r="B292" s="1" t="s">
        <v>392</v>
      </c>
    </row>
    <row r="293" spans="2:4" x14ac:dyDescent="0.25">
      <c r="B293" s="44" t="s">
        <v>400</v>
      </c>
      <c r="C293" s="44"/>
    </row>
    <row r="294" spans="2:4" x14ac:dyDescent="0.25">
      <c r="B294" s="1" t="s">
        <v>401</v>
      </c>
      <c r="D294" s="1">
        <v>10000</v>
      </c>
    </row>
    <row r="295" spans="2:4" x14ac:dyDescent="0.25">
      <c r="B295" s="1" t="s">
        <v>363</v>
      </c>
      <c r="D295" s="1">
        <v>12000</v>
      </c>
    </row>
    <row r="296" spans="2:4" x14ac:dyDescent="0.25">
      <c r="B296" s="1" t="s">
        <v>405</v>
      </c>
      <c r="D296" s="1">
        <f>12*449</f>
        <v>5388</v>
      </c>
    </row>
    <row r="297" spans="2:4" x14ac:dyDescent="0.25">
      <c r="B297" s="1" t="s">
        <v>39</v>
      </c>
      <c r="D297" s="1">
        <v>2237</v>
      </c>
    </row>
    <row r="298" spans="2:4" x14ac:dyDescent="0.25">
      <c r="B298" s="1" t="s">
        <v>81</v>
      </c>
      <c r="D298" s="1" t="s">
        <v>411</v>
      </c>
    </row>
    <row r="299" spans="2:4" x14ac:dyDescent="0.25">
      <c r="B299" s="1" t="s">
        <v>402</v>
      </c>
      <c r="D299" s="1">
        <v>52</v>
      </c>
    </row>
    <row r="300" spans="2:4" x14ac:dyDescent="0.25">
      <c r="B300" s="1" t="s">
        <v>406</v>
      </c>
      <c r="D300" s="1">
        <v>25</v>
      </c>
    </row>
    <row r="301" spans="2:4" x14ac:dyDescent="0.25">
      <c r="B301" s="1" t="s">
        <v>410</v>
      </c>
      <c r="D301" s="39">
        <v>1</v>
      </c>
    </row>
    <row r="302" spans="2:4" x14ac:dyDescent="0.25">
      <c r="B302" s="1" t="s">
        <v>408</v>
      </c>
      <c r="D302" s="64">
        <f>D300*2%*D301</f>
        <v>0.5</v>
      </c>
    </row>
    <row r="303" spans="2:4" x14ac:dyDescent="0.25">
      <c r="B303" s="1" t="s">
        <v>407</v>
      </c>
      <c r="D303" s="14">
        <f>D302*(D294+1/12*D296+1/12*D297)</f>
        <v>5317.708333333333</v>
      </c>
    </row>
    <row r="304" spans="2:4" x14ac:dyDescent="0.25">
      <c r="B304" s="1" t="s">
        <v>409</v>
      </c>
      <c r="D304" s="64">
        <f>D302+(60-D299)*2%*D301</f>
        <v>0.66</v>
      </c>
    </row>
    <row r="305" spans="2:5" x14ac:dyDescent="0.25">
      <c r="B305" s="1" t="s">
        <v>369</v>
      </c>
      <c r="D305" s="1">
        <f>D304*(D295+1/12*D296+1/12*D297)</f>
        <v>8339.375</v>
      </c>
    </row>
    <row r="306" spans="2:5" x14ac:dyDescent="0.25">
      <c r="B306" s="1" t="s">
        <v>370</v>
      </c>
      <c r="D306" s="14">
        <f>D305-D303</f>
        <v>3021.666666666667</v>
      </c>
    </row>
    <row r="307" spans="2:5" x14ac:dyDescent="0.25">
      <c r="B307" s="1" t="s">
        <v>412</v>
      </c>
      <c r="D307" s="1">
        <f>D305*0.6-D303*0.6</f>
        <v>1813.0000000000005</v>
      </c>
    </row>
    <row r="308" spans="2:5" x14ac:dyDescent="0.25">
      <c r="B308" s="1" t="s">
        <v>413</v>
      </c>
      <c r="D308" s="77">
        <v>7.3090000000000002</v>
      </c>
    </row>
    <row r="309" spans="2:5" x14ac:dyDescent="0.25">
      <c r="B309" s="1" t="s">
        <v>414</v>
      </c>
      <c r="D309" s="77">
        <v>2.093</v>
      </c>
    </row>
    <row r="310" spans="2:5" x14ac:dyDescent="0.25">
      <c r="B310" s="1" t="s">
        <v>415</v>
      </c>
      <c r="D310" s="14">
        <f>D308*12*D306</f>
        <v>265024.34000000003</v>
      </c>
    </row>
    <row r="311" spans="2:5" x14ac:dyDescent="0.25">
      <c r="B311" s="1" t="s">
        <v>416</v>
      </c>
      <c r="D311" s="14">
        <f>D309*D307*12</f>
        <v>45535.308000000012</v>
      </c>
    </row>
    <row r="312" spans="2:5" x14ac:dyDescent="0.25">
      <c r="B312" s="1" t="s">
        <v>382</v>
      </c>
      <c r="D312" s="14">
        <f>D311+D310</f>
        <v>310559.64800000004</v>
      </c>
    </row>
    <row r="314" spans="2:5" x14ac:dyDescent="0.25">
      <c r="B314" s="1" t="s">
        <v>417</v>
      </c>
      <c r="D314" s="14">
        <f>(D294+1/12*D296+1/12*D297)*12</f>
        <v>127625</v>
      </c>
    </row>
    <row r="315" spans="2:5" x14ac:dyDescent="0.25">
      <c r="B315" s="1" t="s">
        <v>418</v>
      </c>
      <c r="D315" s="14">
        <f>(D294+1/12*D296+1/12*D297)*0.5*24</f>
        <v>127625</v>
      </c>
    </row>
    <row r="317" spans="2:5" x14ac:dyDescent="0.25">
      <c r="B317" s="1" t="s">
        <v>419</v>
      </c>
    </row>
    <row r="319" spans="2:5" x14ac:dyDescent="0.25">
      <c r="B319" s="31" t="s">
        <v>420</v>
      </c>
      <c r="C319" s="31"/>
    </row>
    <row r="320" spans="2:5" x14ac:dyDescent="0.25">
      <c r="B320" s="6" t="s">
        <v>165</v>
      </c>
      <c r="C320" s="6"/>
      <c r="D320" s="6" t="s">
        <v>245</v>
      </c>
      <c r="E320" s="6" t="s">
        <v>250</v>
      </c>
    </row>
    <row r="321" spans="2:7" ht="30" x14ac:dyDescent="0.25">
      <c r="B321" s="6" t="s">
        <v>421</v>
      </c>
      <c r="C321" s="6"/>
      <c r="D321" s="7" t="s">
        <v>422</v>
      </c>
      <c r="E321" s="6" t="s">
        <v>275</v>
      </c>
    </row>
    <row r="322" spans="2:7" x14ac:dyDescent="0.25">
      <c r="B322" s="6" t="s">
        <v>423</v>
      </c>
      <c r="C322" s="6"/>
      <c r="D322" s="7" t="s">
        <v>426</v>
      </c>
      <c r="E322" s="6"/>
    </row>
    <row r="323" spans="2:7" x14ac:dyDescent="0.25">
      <c r="B323" s="6" t="s">
        <v>424</v>
      </c>
      <c r="C323" s="6"/>
      <c r="D323" s="7" t="s">
        <v>426</v>
      </c>
      <c r="E323" s="6"/>
    </row>
    <row r="324" spans="2:7" x14ac:dyDescent="0.25">
      <c r="B324" s="6" t="s">
        <v>425</v>
      </c>
      <c r="C324" s="6"/>
      <c r="D324" s="7" t="s">
        <v>426</v>
      </c>
      <c r="E324" s="6"/>
    </row>
    <row r="325" spans="2:7" x14ac:dyDescent="0.25">
      <c r="B325" s="6" t="s">
        <v>427</v>
      </c>
      <c r="C325" s="6"/>
      <c r="D325" s="7" t="s">
        <v>428</v>
      </c>
      <c r="E325" s="6"/>
    </row>
    <row r="327" spans="2:7" x14ac:dyDescent="0.25">
      <c r="B327" s="78" t="s">
        <v>429</v>
      </c>
      <c r="C327" s="78"/>
      <c r="D327" s="78"/>
      <c r="E327" s="78"/>
      <c r="F327" s="78"/>
      <c r="G327" s="78"/>
    </row>
    <row r="328" spans="2:7" s="33" customFormat="1" x14ac:dyDescent="0.25"/>
    <row r="329" spans="2:7" s="33" customFormat="1" x14ac:dyDescent="0.25">
      <c r="B329" s="106" t="s">
        <v>591</v>
      </c>
      <c r="C329" s="106"/>
    </row>
    <row r="330" spans="2:7" s="33" customFormat="1" x14ac:dyDescent="0.25">
      <c r="B330" s="33" t="s">
        <v>592</v>
      </c>
    </row>
    <row r="331" spans="2:7" s="33" customFormat="1" x14ac:dyDescent="0.25">
      <c r="B331" s="33" t="s">
        <v>593</v>
      </c>
    </row>
    <row r="332" spans="2:7" s="33" customFormat="1" x14ac:dyDescent="0.25">
      <c r="B332" s="33" t="s">
        <v>174</v>
      </c>
      <c r="D332" s="33" t="s">
        <v>595</v>
      </c>
      <c r="E332" s="33" t="s">
        <v>60</v>
      </c>
      <c r="F332" s="33" t="s">
        <v>61</v>
      </c>
      <c r="G332" s="33" t="s">
        <v>62</v>
      </c>
    </row>
    <row r="333" spans="2:7" s="33" customFormat="1" x14ac:dyDescent="0.25">
      <c r="B333" s="33" t="s">
        <v>113</v>
      </c>
      <c r="D333" s="107">
        <v>9500</v>
      </c>
      <c r="E333" s="108">
        <v>34700</v>
      </c>
      <c r="F333" s="108">
        <v>39447</v>
      </c>
      <c r="G333" s="107">
        <f>(F333-E333)/365</f>
        <v>13.005479452054795</v>
      </c>
    </row>
    <row r="334" spans="2:7" s="33" customFormat="1" x14ac:dyDescent="0.25">
      <c r="B334" s="33" t="s">
        <v>594</v>
      </c>
      <c r="D334" s="107">
        <v>18000</v>
      </c>
      <c r="E334" s="108">
        <v>39448</v>
      </c>
      <c r="F334" s="108">
        <v>45291</v>
      </c>
      <c r="G334" s="107">
        <f>(F334-E334)/365</f>
        <v>16.008219178082193</v>
      </c>
    </row>
    <row r="335" spans="2:7" s="33" customFormat="1" x14ac:dyDescent="0.25">
      <c r="G335" s="109">
        <f>SUM(G333:G334)</f>
        <v>29.013698630136986</v>
      </c>
    </row>
    <row r="336" spans="2:7" s="33" customFormat="1" x14ac:dyDescent="0.25">
      <c r="B336" s="33" t="s">
        <v>596</v>
      </c>
      <c r="D336" s="109">
        <f>D333*G333/G335+D334*G334/G335</f>
        <v>14189.848914069877</v>
      </c>
      <c r="E336" s="33" t="s">
        <v>597</v>
      </c>
    </row>
    <row r="337" spans="2:5" s="33" customFormat="1" x14ac:dyDescent="0.25">
      <c r="B337" s="31" t="s">
        <v>598</v>
      </c>
      <c r="C337" s="31"/>
      <c r="D337" s="1"/>
      <c r="E337" s="1"/>
    </row>
    <row r="338" spans="2:5" s="33" customFormat="1" x14ac:dyDescent="0.25">
      <c r="B338" s="6" t="s">
        <v>165</v>
      </c>
      <c r="C338" s="6"/>
      <c r="D338" s="6" t="s">
        <v>245</v>
      </c>
      <c r="E338" s="6" t="s">
        <v>250</v>
      </c>
    </row>
    <row r="339" spans="2:5" s="33" customFormat="1" ht="30" x14ac:dyDescent="0.25">
      <c r="B339" s="6" t="s">
        <v>421</v>
      </c>
      <c r="C339" s="6"/>
      <c r="D339" s="7" t="s">
        <v>422</v>
      </c>
      <c r="E339" s="6" t="s">
        <v>275</v>
      </c>
    </row>
    <row r="340" spans="2:5" s="33" customFormat="1" ht="45" x14ac:dyDescent="0.25">
      <c r="B340" s="6" t="s">
        <v>599</v>
      </c>
      <c r="C340" s="6"/>
      <c r="D340" s="7" t="s">
        <v>600</v>
      </c>
      <c r="E340" s="111">
        <v>14189.85</v>
      </c>
    </row>
    <row r="341" spans="2:5" s="33" customFormat="1" x14ac:dyDescent="0.25">
      <c r="B341" s="6" t="s">
        <v>423</v>
      </c>
      <c r="C341" s="6"/>
      <c r="D341" s="7" t="s">
        <v>426</v>
      </c>
      <c r="E341" s="6">
        <f>E340*12</f>
        <v>170278.2</v>
      </c>
    </row>
    <row r="342" spans="2:5" s="33" customFormat="1" x14ac:dyDescent="0.25">
      <c r="B342" s="6" t="s">
        <v>424</v>
      </c>
      <c r="C342" s="6"/>
      <c r="D342" s="7" t="s">
        <v>426</v>
      </c>
      <c r="E342" s="6">
        <f>E340*24/2</f>
        <v>170278.2</v>
      </c>
    </row>
    <row r="343" spans="2:5" s="33" customFormat="1" x14ac:dyDescent="0.25">
      <c r="B343" s="6" t="s">
        <v>425</v>
      </c>
      <c r="C343" s="6"/>
      <c r="D343" s="7" t="s">
        <v>426</v>
      </c>
      <c r="E343" s="6"/>
    </row>
    <row r="344" spans="2:5" x14ac:dyDescent="0.25">
      <c r="B344" s="6" t="s">
        <v>427</v>
      </c>
      <c r="C344" s="6"/>
      <c r="D344" s="7" t="s">
        <v>428</v>
      </c>
      <c r="E344" s="6"/>
    </row>
    <row r="345" spans="2:5" x14ac:dyDescent="0.25">
      <c r="B345" s="62"/>
      <c r="C345" s="62"/>
      <c r="D345" s="110"/>
      <c r="E345" s="62"/>
    </row>
    <row r="346" spans="2:5" x14ac:dyDescent="0.25">
      <c r="B346" s="62"/>
      <c r="C346" s="62"/>
      <c r="D346" s="110"/>
      <c r="E346" s="62"/>
    </row>
    <row r="347" spans="2:5" x14ac:dyDescent="0.25">
      <c r="B347" s="26" t="s">
        <v>431</v>
      </c>
      <c r="C347" s="26"/>
    </row>
    <row r="348" spans="2:5" x14ac:dyDescent="0.25">
      <c r="B348" s="1" t="s">
        <v>432</v>
      </c>
    </row>
    <row r="349" spans="2:5" x14ac:dyDescent="0.25">
      <c r="B349" s="1" t="s">
        <v>433</v>
      </c>
    </row>
    <row r="351" spans="2:5" x14ac:dyDescent="0.25">
      <c r="B351" s="31" t="s">
        <v>434</v>
      </c>
      <c r="C351" s="31"/>
    </row>
    <row r="352" spans="2:5" x14ac:dyDescent="0.25">
      <c r="B352" s="6" t="s">
        <v>165</v>
      </c>
      <c r="C352" s="6"/>
      <c r="D352" s="6" t="s">
        <v>245</v>
      </c>
      <c r="E352" s="6" t="s">
        <v>250</v>
      </c>
    </row>
    <row r="353" spans="2:15" x14ac:dyDescent="0.25">
      <c r="B353" s="6" t="s">
        <v>435</v>
      </c>
      <c r="C353" s="6"/>
      <c r="D353" s="7" t="s">
        <v>436</v>
      </c>
      <c r="E353" s="6" t="s">
        <v>145</v>
      </c>
    </row>
    <row r="354" spans="2:15" x14ac:dyDescent="0.25">
      <c r="B354" s="6" t="s">
        <v>437</v>
      </c>
      <c r="C354" s="6"/>
      <c r="D354" s="7" t="s">
        <v>438</v>
      </c>
      <c r="E354" s="6">
        <v>8000</v>
      </c>
    </row>
    <row r="355" spans="2:15" x14ac:dyDescent="0.25">
      <c r="B355" s="6" t="s">
        <v>439</v>
      </c>
      <c r="C355" s="6"/>
      <c r="D355" s="7" t="s">
        <v>440</v>
      </c>
      <c r="E355" s="6">
        <f>E354*1</f>
        <v>8000</v>
      </c>
    </row>
    <row r="357" spans="2:15" x14ac:dyDescent="0.25">
      <c r="B357" s="26" t="s">
        <v>441</v>
      </c>
      <c r="C357" s="26"/>
    </row>
    <row r="358" spans="2:15" x14ac:dyDescent="0.25">
      <c r="B358" s="49" t="s">
        <v>442</v>
      </c>
      <c r="C358" s="49"/>
      <c r="D358" s="79"/>
      <c r="E358" s="49"/>
      <c r="F358" s="49"/>
      <c r="G358" s="49"/>
      <c r="H358" s="49"/>
      <c r="I358" s="49"/>
      <c r="J358" s="49"/>
      <c r="K358" s="49"/>
      <c r="L358" s="49"/>
      <c r="M358" s="49"/>
      <c r="N358" s="49"/>
      <c r="O358" s="49"/>
    </row>
    <row r="359" spans="2:15" x14ac:dyDescent="0.25">
      <c r="B359" s="49" t="s">
        <v>443</v>
      </c>
      <c r="C359" s="49"/>
      <c r="D359" s="79"/>
      <c r="E359" s="49"/>
      <c r="F359" s="49"/>
      <c r="G359" s="49"/>
      <c r="H359" s="49"/>
      <c r="I359" s="49"/>
      <c r="J359" s="49"/>
      <c r="K359" s="49"/>
      <c r="L359" s="49"/>
      <c r="M359" s="49"/>
      <c r="N359" s="49"/>
      <c r="O359" s="49"/>
    </row>
    <row r="360" spans="2:15" x14ac:dyDescent="0.25">
      <c r="B360" s="49" t="s">
        <v>444</v>
      </c>
      <c r="C360" s="49"/>
      <c r="D360" s="79"/>
      <c r="E360" s="82" t="s">
        <v>445</v>
      </c>
      <c r="F360" s="49"/>
      <c r="G360" s="49"/>
      <c r="H360" s="49"/>
      <c r="I360" s="49"/>
      <c r="J360" s="49"/>
      <c r="K360" s="49"/>
      <c r="L360" s="49"/>
      <c r="M360" s="49"/>
      <c r="N360" s="49"/>
      <c r="O360" s="49"/>
    </row>
    <row r="361" spans="2:15" x14ac:dyDescent="0.25">
      <c r="B361" s="49" t="s">
        <v>446</v>
      </c>
      <c r="C361" s="49"/>
      <c r="D361" s="49">
        <v>1603</v>
      </c>
      <c r="E361" s="49" t="s">
        <v>454</v>
      </c>
      <c r="F361" s="49"/>
      <c r="G361" s="49"/>
      <c r="H361" s="49"/>
      <c r="I361" s="49"/>
      <c r="J361" s="49"/>
      <c r="K361" s="49"/>
      <c r="L361" s="49"/>
      <c r="M361" s="49"/>
      <c r="N361" s="49"/>
      <c r="O361" s="49"/>
    </row>
    <row r="362" spans="2:15" x14ac:dyDescent="0.25">
      <c r="B362" s="49" t="s">
        <v>43</v>
      </c>
      <c r="C362" s="49"/>
      <c r="D362" s="49">
        <v>2237</v>
      </c>
      <c r="E362" s="49" t="s">
        <v>454</v>
      </c>
      <c r="F362" s="49"/>
      <c r="G362" s="49"/>
      <c r="H362" s="49"/>
      <c r="I362" s="49"/>
      <c r="J362" s="49"/>
      <c r="K362" s="49"/>
      <c r="L362" s="49"/>
      <c r="M362" s="49"/>
      <c r="N362" s="49"/>
      <c r="O362" s="49"/>
    </row>
    <row r="363" spans="2:15" x14ac:dyDescent="0.25">
      <c r="B363" s="49" t="s">
        <v>447</v>
      </c>
      <c r="C363" s="49"/>
      <c r="D363" s="79"/>
      <c r="E363" s="49"/>
      <c r="F363" s="49"/>
      <c r="G363" s="49"/>
      <c r="H363" s="49"/>
      <c r="I363" s="49"/>
      <c r="J363" s="49"/>
      <c r="K363" s="49"/>
      <c r="L363" s="49"/>
      <c r="M363" s="49"/>
      <c r="N363" s="49"/>
      <c r="O363" s="49"/>
    </row>
    <row r="364" spans="2:15" x14ac:dyDescent="0.25">
      <c r="B364" s="49" t="s">
        <v>448</v>
      </c>
      <c r="C364" s="49"/>
      <c r="D364" s="79"/>
      <c r="E364" s="49"/>
      <c r="F364" s="49"/>
      <c r="G364" s="49"/>
      <c r="H364" s="49"/>
      <c r="I364" s="49"/>
      <c r="J364" s="49"/>
      <c r="K364" s="49"/>
      <c r="L364" s="49"/>
      <c r="M364" s="49"/>
      <c r="N364" s="49"/>
      <c r="O364" s="49"/>
    </row>
    <row r="365" spans="2:15" x14ac:dyDescent="0.25">
      <c r="B365" s="49" t="s">
        <v>449</v>
      </c>
      <c r="C365" s="49"/>
      <c r="D365" s="79"/>
      <c r="E365" s="49"/>
      <c r="F365" s="49"/>
      <c r="G365" s="49"/>
      <c r="H365" s="49"/>
      <c r="I365" s="49"/>
      <c r="J365" s="49"/>
      <c r="K365" s="49"/>
      <c r="L365" s="49"/>
      <c r="M365" s="49"/>
      <c r="N365" s="49"/>
      <c r="O365" s="49"/>
    </row>
    <row r="366" spans="2:15" x14ac:dyDescent="0.25">
      <c r="B366" s="49" t="s">
        <v>567</v>
      </c>
      <c r="C366" s="49"/>
      <c r="D366" s="79"/>
      <c r="E366" s="49"/>
      <c r="F366" s="49"/>
      <c r="G366" s="49"/>
      <c r="H366" s="49"/>
      <c r="I366" s="49"/>
      <c r="J366" s="49"/>
      <c r="K366" s="49"/>
      <c r="L366" s="49"/>
      <c r="M366" s="49"/>
      <c r="N366" s="49"/>
      <c r="O366" s="49"/>
    </row>
    <row r="367" spans="2:15" x14ac:dyDescent="0.25">
      <c r="B367" s="49" t="s">
        <v>450</v>
      </c>
      <c r="C367" s="49"/>
      <c r="D367" s="49">
        <v>2237</v>
      </c>
      <c r="E367" s="80" t="s">
        <v>564</v>
      </c>
      <c r="F367" s="49"/>
      <c r="G367" s="49"/>
      <c r="H367" s="49"/>
      <c r="I367" s="49"/>
      <c r="J367" s="49"/>
      <c r="K367" s="49"/>
      <c r="L367" s="49"/>
      <c r="M367" s="49"/>
      <c r="N367" s="49"/>
      <c r="O367" s="49"/>
    </row>
    <row r="368" spans="2:15" x14ac:dyDescent="0.25">
      <c r="B368" s="49" t="s">
        <v>565</v>
      </c>
      <c r="C368" s="49"/>
      <c r="D368" s="49">
        <v>2237</v>
      </c>
      <c r="E368" s="49" t="s">
        <v>451</v>
      </c>
      <c r="F368" s="49"/>
      <c r="G368" s="49"/>
      <c r="H368" s="49"/>
      <c r="I368" s="49"/>
      <c r="J368" s="49"/>
      <c r="K368" s="49"/>
      <c r="L368" s="49"/>
      <c r="M368" s="49"/>
      <c r="N368" s="49"/>
      <c r="O368" s="49"/>
    </row>
    <row r="369" spans="2:15" x14ac:dyDescent="0.25">
      <c r="B369" s="49"/>
      <c r="C369" s="49"/>
      <c r="D369" s="79"/>
      <c r="E369" s="49"/>
      <c r="F369" s="49"/>
      <c r="G369" s="49"/>
      <c r="H369" s="49"/>
      <c r="I369" s="49"/>
      <c r="J369" s="49"/>
      <c r="K369" s="49"/>
      <c r="L369" s="49"/>
      <c r="M369" s="49"/>
      <c r="N369" s="49"/>
      <c r="O369" s="49"/>
    </row>
    <row r="370" spans="2:15" x14ac:dyDescent="0.25">
      <c r="B370" s="49" t="s">
        <v>452</v>
      </c>
      <c r="C370" s="49"/>
      <c r="D370" s="79"/>
      <c r="E370" s="49"/>
      <c r="F370" s="49"/>
      <c r="G370" s="49"/>
      <c r="H370" s="81" t="s">
        <v>453</v>
      </c>
      <c r="I370" s="49"/>
      <c r="J370" s="49"/>
      <c r="K370" s="49"/>
      <c r="L370" s="49"/>
      <c r="M370" s="49"/>
      <c r="N370" s="49"/>
      <c r="O370" s="49"/>
    </row>
    <row r="371" spans="2:15" x14ac:dyDescent="0.25">
      <c r="B371" s="49"/>
      <c r="C371" s="49"/>
      <c r="D371" s="79"/>
      <c r="E371" s="49"/>
      <c r="F371" s="49"/>
      <c r="G371" s="49"/>
      <c r="H371" s="49"/>
      <c r="I371" s="49"/>
      <c r="J371" s="49"/>
      <c r="K371" s="49"/>
      <c r="L371" s="49"/>
      <c r="M371" s="49"/>
      <c r="N371" s="49"/>
      <c r="O371" s="49"/>
    </row>
    <row r="372" spans="2:15" x14ac:dyDescent="0.25">
      <c r="B372" s="31" t="s">
        <v>489</v>
      </c>
      <c r="C372" s="31"/>
    </row>
    <row r="373" spans="2:15" x14ac:dyDescent="0.25">
      <c r="B373" s="6" t="s">
        <v>165</v>
      </c>
      <c r="C373" s="6"/>
      <c r="D373" s="6" t="s">
        <v>245</v>
      </c>
      <c r="E373" s="6" t="s">
        <v>250</v>
      </c>
    </row>
    <row r="374" spans="2:15" x14ac:dyDescent="0.25">
      <c r="B374" s="6" t="s">
        <v>37</v>
      </c>
      <c r="C374" s="6"/>
      <c r="D374" s="7" t="s">
        <v>167</v>
      </c>
      <c r="E374" s="6" t="s">
        <v>56</v>
      </c>
    </row>
    <row r="375" spans="2:15" x14ac:dyDescent="0.25">
      <c r="B375" s="6" t="s">
        <v>490</v>
      </c>
      <c r="C375" s="6"/>
      <c r="D375" s="7" t="s">
        <v>492</v>
      </c>
      <c r="E375" s="40">
        <v>0.8</v>
      </c>
    </row>
    <row r="376" spans="2:15" x14ac:dyDescent="0.25">
      <c r="B376" s="6" t="s">
        <v>491</v>
      </c>
      <c r="C376" s="6"/>
      <c r="D376" s="7" t="s">
        <v>492</v>
      </c>
      <c r="E376" s="40">
        <v>1</v>
      </c>
    </row>
    <row r="377" spans="2:15" ht="105" x14ac:dyDescent="0.25">
      <c r="B377" s="6" t="s">
        <v>493</v>
      </c>
      <c r="C377" s="6"/>
      <c r="D377" s="7" t="s">
        <v>494</v>
      </c>
      <c r="E377" s="6">
        <v>0</v>
      </c>
      <c r="F377" s="1" t="s">
        <v>496</v>
      </c>
    </row>
    <row r="378" spans="2:15" ht="45" x14ac:dyDescent="0.25">
      <c r="B378" s="6" t="s">
        <v>495</v>
      </c>
      <c r="C378" s="6"/>
      <c r="D378" s="7" t="s">
        <v>569</v>
      </c>
      <c r="E378" s="6">
        <f>2237*E375</f>
        <v>1789.6000000000001</v>
      </c>
      <c r="F378" s="1" t="s">
        <v>496</v>
      </c>
    </row>
    <row r="381" spans="2:15" x14ac:dyDescent="0.25">
      <c r="B381" s="26" t="s">
        <v>497</v>
      </c>
      <c r="C381" s="26"/>
    </row>
    <row r="382" spans="2:15" x14ac:dyDescent="0.25">
      <c r="B382" s="49" t="s">
        <v>570</v>
      </c>
      <c r="C382" s="49"/>
    </row>
    <row r="383" spans="2:15" x14ac:dyDescent="0.25">
      <c r="B383" s="49" t="s">
        <v>498</v>
      </c>
      <c r="C383" s="49"/>
    </row>
    <row r="384" spans="2:15" x14ac:dyDescent="0.25">
      <c r="B384" s="49" t="s">
        <v>504</v>
      </c>
      <c r="C384" s="49"/>
    </row>
    <row r="387" spans="2:5" x14ac:dyDescent="0.25">
      <c r="B387" s="31" t="s">
        <v>499</v>
      </c>
      <c r="C387" s="31"/>
    </row>
    <row r="388" spans="2:5" x14ac:dyDescent="0.25">
      <c r="B388" s="6" t="s">
        <v>165</v>
      </c>
      <c r="C388" s="6"/>
      <c r="D388" s="6" t="s">
        <v>245</v>
      </c>
      <c r="E388" s="6" t="s">
        <v>250</v>
      </c>
    </row>
    <row r="389" spans="2:5" x14ac:dyDescent="0.25">
      <c r="B389" s="6" t="s">
        <v>55</v>
      </c>
      <c r="C389" s="6"/>
      <c r="D389" s="7" t="s">
        <v>167</v>
      </c>
      <c r="E389" s="6" t="s">
        <v>56</v>
      </c>
    </row>
    <row r="390" spans="2:5" x14ac:dyDescent="0.25">
      <c r="B390" s="6" t="s">
        <v>491</v>
      </c>
      <c r="C390" s="6"/>
      <c r="D390" s="7" t="s">
        <v>492</v>
      </c>
      <c r="E390" s="40">
        <v>1</v>
      </c>
    </row>
    <row r="391" spans="2:5" ht="120" x14ac:dyDescent="0.25">
      <c r="B391" s="6" t="s">
        <v>500</v>
      </c>
      <c r="C391" s="6"/>
      <c r="D391" s="7" t="s">
        <v>505</v>
      </c>
      <c r="E391" s="6">
        <v>0</v>
      </c>
    </row>
    <row r="392" spans="2:5" ht="75" x14ac:dyDescent="0.25">
      <c r="B392" s="7" t="s">
        <v>506</v>
      </c>
      <c r="C392" s="7"/>
      <c r="D392" s="7"/>
      <c r="E392" s="6"/>
    </row>
    <row r="394" spans="2:5" x14ac:dyDescent="0.25">
      <c r="B394" s="56" t="s">
        <v>507</v>
      </c>
      <c r="C394" s="56"/>
    </row>
    <row r="395" spans="2:5" x14ac:dyDescent="0.25">
      <c r="B395" s="31" t="s">
        <v>269</v>
      </c>
      <c r="C395" s="31"/>
    </row>
    <row r="396" spans="2:5" x14ac:dyDescent="0.25">
      <c r="B396" s="1" t="s">
        <v>508</v>
      </c>
    </row>
    <row r="397" spans="2:5" x14ac:dyDescent="0.25">
      <c r="B397" s="1" t="s">
        <v>509</v>
      </c>
    </row>
    <row r="399" spans="2:5" x14ac:dyDescent="0.25">
      <c r="B399" s="31" t="s">
        <v>510</v>
      </c>
      <c r="C399" s="31"/>
    </row>
    <row r="400" spans="2:5" x14ac:dyDescent="0.25">
      <c r="B400" s="6" t="s">
        <v>165</v>
      </c>
      <c r="C400" s="6"/>
      <c r="D400" s="6" t="s">
        <v>245</v>
      </c>
      <c r="E400" s="6" t="s">
        <v>250</v>
      </c>
    </row>
    <row r="401" spans="1:5" x14ac:dyDescent="0.25">
      <c r="B401" s="6" t="s">
        <v>511</v>
      </c>
      <c r="C401" s="6"/>
      <c r="D401" s="7" t="s">
        <v>492</v>
      </c>
      <c r="E401" s="6">
        <v>2</v>
      </c>
    </row>
    <row r="402" spans="1:5" ht="30" x14ac:dyDescent="0.25">
      <c r="B402" s="6" t="s">
        <v>410</v>
      </c>
      <c r="C402" s="6"/>
      <c r="D402" s="7" t="s">
        <v>516</v>
      </c>
      <c r="E402" s="40">
        <v>0.25</v>
      </c>
    </row>
    <row r="403" spans="1:5" x14ac:dyDescent="0.25">
      <c r="B403" s="6" t="s">
        <v>512</v>
      </c>
      <c r="C403" s="6"/>
      <c r="D403" s="7" t="s">
        <v>513</v>
      </c>
      <c r="E403" s="47">
        <v>12000</v>
      </c>
    </row>
    <row r="404" spans="1:5" x14ac:dyDescent="0.25">
      <c r="B404" s="6" t="s">
        <v>514</v>
      </c>
      <c r="C404" s="6"/>
      <c r="D404" s="7" t="s">
        <v>515</v>
      </c>
      <c r="E404" s="47">
        <f>E403*E401*E402</f>
        <v>6000</v>
      </c>
    </row>
    <row r="407" spans="1:5" x14ac:dyDescent="0.25">
      <c r="A407" s="15"/>
      <c r="B407" s="85" t="s">
        <v>517</v>
      </c>
      <c r="C407" s="85"/>
      <c r="E407" s="1" t="s">
        <v>14</v>
      </c>
    </row>
    <row r="408" spans="1:5" x14ac:dyDescent="0.25">
      <c r="A408" s="15"/>
      <c r="B408" s="86" t="s">
        <v>518</v>
      </c>
      <c r="C408" s="86"/>
    </row>
    <row r="409" spans="1:5" x14ac:dyDescent="0.25">
      <c r="A409" s="15"/>
      <c r="B409" s="86"/>
      <c r="C409" s="86"/>
    </row>
    <row r="410" spans="1:5" x14ac:dyDescent="0.25">
      <c r="B410" s="6" t="s">
        <v>107</v>
      </c>
      <c r="C410" s="6"/>
      <c r="D410" s="6" t="s">
        <v>195</v>
      </c>
      <c r="E410" s="1">
        <v>10000</v>
      </c>
    </row>
    <row r="411" spans="1:5" x14ac:dyDescent="0.25">
      <c r="B411" s="6" t="s">
        <v>519</v>
      </c>
      <c r="C411" s="6"/>
      <c r="D411" s="6" t="s">
        <v>520</v>
      </c>
      <c r="E411" s="1">
        <f>E410*3</f>
        <v>30000</v>
      </c>
    </row>
  </sheetData>
  <mergeCells count="2">
    <mergeCell ref="D137:D144"/>
    <mergeCell ref="G6:M6"/>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99"/>
  <sheetViews>
    <sheetView rightToLeft="1" workbookViewId="0">
      <pane xSplit="1" ySplit="3" topLeftCell="B58" activePane="bottomRight" state="frozen"/>
      <selection pane="topRight" activeCell="B1" sqref="B1"/>
      <selection pane="bottomLeft" activeCell="A4" sqref="A4"/>
      <selection pane="bottomRight" activeCell="I85" sqref="I85"/>
    </sheetView>
  </sheetViews>
  <sheetFormatPr defaultRowHeight="14.25" x14ac:dyDescent="0.2"/>
  <sheetData>
    <row r="1" spans="1:5" x14ac:dyDescent="0.2">
      <c r="A1" s="67"/>
      <c r="B1" s="67"/>
      <c r="C1" s="67"/>
      <c r="D1" s="67"/>
      <c r="E1" s="67"/>
    </row>
    <row r="2" spans="1:5" ht="15.75" x14ac:dyDescent="0.25">
      <c r="A2" s="68" t="s">
        <v>266</v>
      </c>
      <c r="B2" s="69" t="s">
        <v>384</v>
      </c>
      <c r="C2" s="69" t="s">
        <v>373</v>
      </c>
      <c r="D2" s="69" t="s">
        <v>374</v>
      </c>
      <c r="E2" s="69" t="s">
        <v>375</v>
      </c>
    </row>
    <row r="3" spans="1:5" ht="15.75" x14ac:dyDescent="0.25">
      <c r="A3" s="69"/>
      <c r="B3" s="70">
        <v>1</v>
      </c>
      <c r="C3" s="70" t="s">
        <v>376</v>
      </c>
      <c r="D3" s="70" t="s">
        <v>377</v>
      </c>
      <c r="E3" s="70" t="s">
        <v>378</v>
      </c>
    </row>
    <row r="4" spans="1:5" x14ac:dyDescent="0.2">
      <c r="A4" s="71">
        <v>18</v>
      </c>
      <c r="B4" s="72">
        <v>1.3169999999999999</v>
      </c>
      <c r="C4" s="72">
        <v>0.37</v>
      </c>
      <c r="D4" s="72">
        <v>1.4910000000000001</v>
      </c>
      <c r="E4" s="72">
        <v>0.107</v>
      </c>
    </row>
    <row r="5" spans="1:5" x14ac:dyDescent="0.2">
      <c r="A5" s="71">
        <v>18.5</v>
      </c>
      <c r="B5" s="72">
        <v>1.35</v>
      </c>
      <c r="C5" s="72">
        <v>0.379</v>
      </c>
      <c r="D5" s="72">
        <v>1.2549999999999999</v>
      </c>
      <c r="E5" s="72">
        <v>0.11</v>
      </c>
    </row>
    <row r="6" spans="1:5" x14ac:dyDescent="0.2">
      <c r="A6" s="71">
        <v>19</v>
      </c>
      <c r="B6" s="72">
        <v>1.3839999999999999</v>
      </c>
      <c r="C6" s="72">
        <v>0.38800000000000001</v>
      </c>
      <c r="D6" s="72">
        <v>1.0189999999999999</v>
      </c>
      <c r="E6" s="72">
        <v>0.113</v>
      </c>
    </row>
    <row r="7" spans="1:5" x14ac:dyDescent="0.2">
      <c r="A7" s="71">
        <v>19.5</v>
      </c>
      <c r="B7" s="72">
        <v>1.419</v>
      </c>
      <c r="C7" s="72">
        <v>0.39800000000000002</v>
      </c>
      <c r="D7" s="72">
        <v>1.0449999999999999</v>
      </c>
      <c r="E7" s="72">
        <v>0.11600000000000001</v>
      </c>
    </row>
    <row r="8" spans="1:5" x14ac:dyDescent="0.2">
      <c r="A8" s="71">
        <v>20</v>
      </c>
      <c r="B8" s="72">
        <v>1.454</v>
      </c>
      <c r="C8" s="72">
        <v>0.40799999999999997</v>
      </c>
      <c r="D8" s="72">
        <v>1.07</v>
      </c>
      <c r="E8" s="72">
        <v>0.11799999999999999</v>
      </c>
    </row>
    <row r="9" spans="1:5" x14ac:dyDescent="0.2">
      <c r="A9" s="71">
        <v>20.5</v>
      </c>
      <c r="B9" s="72">
        <v>1.4910000000000001</v>
      </c>
      <c r="C9" s="72">
        <v>0.41799999999999998</v>
      </c>
      <c r="D9" s="72">
        <v>1.097</v>
      </c>
      <c r="E9" s="72">
        <v>0.121</v>
      </c>
    </row>
    <row r="10" spans="1:5" x14ac:dyDescent="0.2">
      <c r="A10" s="71">
        <v>21</v>
      </c>
      <c r="B10" s="72">
        <v>1.528</v>
      </c>
      <c r="C10" s="72">
        <v>0.42899999999999999</v>
      </c>
      <c r="D10" s="72">
        <v>1.1240000000000001</v>
      </c>
      <c r="E10" s="72">
        <v>0.124</v>
      </c>
    </row>
    <row r="11" spans="1:5" x14ac:dyDescent="0.2">
      <c r="A11" s="71">
        <v>21.5</v>
      </c>
      <c r="B11" s="72">
        <v>1.5669999999999999</v>
      </c>
      <c r="C11" s="72">
        <v>0.44</v>
      </c>
      <c r="D11" s="72">
        <v>1.153</v>
      </c>
      <c r="E11" s="72">
        <v>0.128</v>
      </c>
    </row>
    <row r="12" spans="1:5" x14ac:dyDescent="0.2">
      <c r="A12" s="71">
        <v>22</v>
      </c>
      <c r="B12" s="72">
        <v>1.6060000000000001</v>
      </c>
      <c r="C12" s="72">
        <v>0.45100000000000001</v>
      </c>
      <c r="D12" s="72">
        <v>1.181</v>
      </c>
      <c r="E12" s="72">
        <v>0.13100000000000001</v>
      </c>
    </row>
    <row r="13" spans="1:5" x14ac:dyDescent="0.2">
      <c r="A13" s="71">
        <v>22.5</v>
      </c>
      <c r="B13" s="72">
        <v>1.6459999999999999</v>
      </c>
      <c r="C13" s="72">
        <v>0.46200000000000002</v>
      </c>
      <c r="D13" s="72">
        <v>1.2110000000000001</v>
      </c>
      <c r="E13" s="72">
        <v>0.13400000000000001</v>
      </c>
    </row>
    <row r="14" spans="1:5" x14ac:dyDescent="0.2">
      <c r="A14" s="71">
        <v>23</v>
      </c>
      <c r="B14" s="72">
        <v>1.6870000000000001</v>
      </c>
      <c r="C14" s="72">
        <v>0.47399999999999998</v>
      </c>
      <c r="D14" s="72">
        <v>1.24</v>
      </c>
      <c r="E14" s="72">
        <v>0.13700000000000001</v>
      </c>
    </row>
    <row r="15" spans="1:5" x14ac:dyDescent="0.2">
      <c r="A15" s="71">
        <v>23.5</v>
      </c>
      <c r="B15" s="72">
        <v>1.73</v>
      </c>
      <c r="C15" s="72">
        <v>0.48599999999999999</v>
      </c>
      <c r="D15" s="72">
        <v>1.272</v>
      </c>
      <c r="E15" s="72">
        <v>0.14099999999999999</v>
      </c>
    </row>
    <row r="16" spans="1:5" x14ac:dyDescent="0.2">
      <c r="A16" s="71">
        <v>24</v>
      </c>
      <c r="B16" s="72">
        <v>1.7729999999999999</v>
      </c>
      <c r="C16" s="72">
        <v>0.498</v>
      </c>
      <c r="D16" s="72">
        <v>1.3029999999999999</v>
      </c>
      <c r="E16" s="72">
        <v>0.14399999999999999</v>
      </c>
    </row>
    <row r="17" spans="1:5" x14ac:dyDescent="0.2">
      <c r="A17" s="71">
        <v>24.5</v>
      </c>
      <c r="B17" s="72">
        <v>1.8180000000000001</v>
      </c>
      <c r="C17" s="72">
        <v>0.51100000000000001</v>
      </c>
      <c r="D17" s="72">
        <v>1.3360000000000001</v>
      </c>
      <c r="E17" s="72">
        <v>0.14799999999999999</v>
      </c>
    </row>
    <row r="18" spans="1:5" x14ac:dyDescent="0.2">
      <c r="A18" s="71">
        <v>25</v>
      </c>
      <c r="B18" s="72">
        <v>1.8640000000000001</v>
      </c>
      <c r="C18" s="72">
        <v>0.52400000000000002</v>
      </c>
      <c r="D18" s="72">
        <v>1.369</v>
      </c>
      <c r="E18" s="72">
        <v>0.152</v>
      </c>
    </row>
    <row r="19" spans="1:5" x14ac:dyDescent="0.2">
      <c r="A19" s="71">
        <v>25.5</v>
      </c>
      <c r="B19" s="72">
        <v>1.911</v>
      </c>
      <c r="C19" s="72">
        <v>0.53700000000000003</v>
      </c>
      <c r="D19" s="72">
        <v>1.403</v>
      </c>
      <c r="E19" s="72">
        <v>0.156</v>
      </c>
    </row>
    <row r="20" spans="1:5" x14ac:dyDescent="0.2">
      <c r="A20" s="71">
        <v>26</v>
      </c>
      <c r="B20" s="72">
        <v>1.958</v>
      </c>
      <c r="C20" s="72">
        <v>0.55000000000000004</v>
      </c>
      <c r="D20" s="72">
        <v>1.4370000000000001</v>
      </c>
      <c r="E20" s="72">
        <v>0.159</v>
      </c>
    </row>
    <row r="21" spans="1:5" x14ac:dyDescent="0.2">
      <c r="A21" s="71">
        <v>26.5</v>
      </c>
      <c r="B21" s="72">
        <v>2.008</v>
      </c>
      <c r="C21" s="72">
        <v>0.56499999999999995</v>
      </c>
      <c r="D21" s="72">
        <v>1.474</v>
      </c>
      <c r="E21" s="72">
        <v>0.16400000000000001</v>
      </c>
    </row>
    <row r="22" spans="1:5" x14ac:dyDescent="0.2">
      <c r="A22" s="71">
        <v>27</v>
      </c>
      <c r="B22" s="72">
        <v>2.0579999999999998</v>
      </c>
      <c r="C22" s="72">
        <v>0.57899999999999996</v>
      </c>
      <c r="D22" s="72">
        <v>1.51</v>
      </c>
      <c r="E22" s="72">
        <v>0.16800000000000001</v>
      </c>
    </row>
    <row r="23" spans="1:5" x14ac:dyDescent="0.2">
      <c r="A23" s="71">
        <v>27.5</v>
      </c>
      <c r="B23" s="72">
        <v>2.11</v>
      </c>
      <c r="C23" s="72">
        <v>0.59299999999999997</v>
      </c>
      <c r="D23" s="71">
        <v>1.548</v>
      </c>
      <c r="E23" s="72">
        <v>0.17199999999999999</v>
      </c>
    </row>
    <row r="24" spans="1:5" x14ac:dyDescent="0.2">
      <c r="A24" s="71">
        <v>28</v>
      </c>
      <c r="B24" s="72">
        <v>2.1629999999999998</v>
      </c>
      <c r="C24" s="72">
        <v>0.60799999999999998</v>
      </c>
      <c r="D24" s="71">
        <v>1.5860000000000001</v>
      </c>
      <c r="E24" s="72">
        <v>0.17599999999999999</v>
      </c>
    </row>
    <row r="25" spans="1:5" x14ac:dyDescent="0.2">
      <c r="A25" s="71">
        <v>28.5</v>
      </c>
      <c r="B25" s="72">
        <v>2.218</v>
      </c>
      <c r="C25" s="72">
        <v>0.624</v>
      </c>
      <c r="D25" s="71">
        <v>1.6259999999999999</v>
      </c>
      <c r="E25" s="72">
        <v>0.18099999999999999</v>
      </c>
    </row>
    <row r="26" spans="1:5" x14ac:dyDescent="0.2">
      <c r="A26" s="71">
        <v>29</v>
      </c>
      <c r="B26" s="72">
        <v>2.2730000000000001</v>
      </c>
      <c r="C26" s="72">
        <v>0.63900000000000001</v>
      </c>
      <c r="D26" s="71">
        <v>1.6659999999999999</v>
      </c>
      <c r="E26" s="72">
        <v>0.185</v>
      </c>
    </row>
    <row r="27" spans="1:5" x14ac:dyDescent="0.2">
      <c r="A27" s="71">
        <v>29.5</v>
      </c>
      <c r="B27" s="72">
        <v>2.33</v>
      </c>
      <c r="C27" s="72">
        <v>0.65600000000000003</v>
      </c>
      <c r="D27" s="71">
        <v>1.708</v>
      </c>
      <c r="E27" s="72">
        <v>0.19</v>
      </c>
    </row>
    <row r="28" spans="1:5" x14ac:dyDescent="0.2">
      <c r="A28" s="71">
        <v>30</v>
      </c>
      <c r="B28" s="72">
        <v>2.3879999999999999</v>
      </c>
      <c r="C28" s="72">
        <v>0.67200000000000004</v>
      </c>
      <c r="D28" s="71">
        <v>1.75</v>
      </c>
      <c r="E28" s="72">
        <v>0.19500000000000001</v>
      </c>
    </row>
    <row r="29" spans="1:5" x14ac:dyDescent="0.2">
      <c r="A29" s="71">
        <v>30.5</v>
      </c>
      <c r="B29" s="72">
        <v>2.4489999999999998</v>
      </c>
      <c r="C29" s="72">
        <v>0.68899999999999995</v>
      </c>
      <c r="D29" s="71">
        <v>1.794</v>
      </c>
      <c r="E29" s="72">
        <v>0.2</v>
      </c>
    </row>
    <row r="30" spans="1:5" x14ac:dyDescent="0.2">
      <c r="A30" s="71">
        <v>31</v>
      </c>
      <c r="B30" s="72">
        <v>2.5099999999999998</v>
      </c>
      <c r="C30" s="72">
        <v>0.70699999999999996</v>
      </c>
      <c r="D30" s="71">
        <v>1.8380000000000001</v>
      </c>
      <c r="E30" s="72">
        <v>0.20499999999999999</v>
      </c>
    </row>
    <row r="31" spans="1:5" x14ac:dyDescent="0.2">
      <c r="A31" s="71">
        <v>31.5</v>
      </c>
      <c r="B31" s="72">
        <v>2.573</v>
      </c>
      <c r="C31" s="72">
        <v>0.72499999999999998</v>
      </c>
      <c r="D31" s="71">
        <v>1.8839999999999999</v>
      </c>
      <c r="E31" s="72">
        <v>0.21</v>
      </c>
    </row>
    <row r="32" spans="1:5" x14ac:dyDescent="0.2">
      <c r="A32" s="71">
        <v>32</v>
      </c>
      <c r="B32" s="72">
        <v>2.637</v>
      </c>
      <c r="C32" s="72">
        <v>0.74299999999999999</v>
      </c>
      <c r="D32" s="71">
        <v>1.931</v>
      </c>
      <c r="E32" s="72">
        <v>0.215</v>
      </c>
    </row>
    <row r="33" spans="1:5" x14ac:dyDescent="0.2">
      <c r="A33" s="71">
        <v>32.5</v>
      </c>
      <c r="B33" s="72">
        <v>2.7040000000000002</v>
      </c>
      <c r="C33" s="72">
        <v>0.76200000000000001</v>
      </c>
      <c r="D33" s="71">
        <v>1.9790000000000001</v>
      </c>
      <c r="E33" s="72">
        <v>0.221</v>
      </c>
    </row>
    <row r="34" spans="1:5" x14ac:dyDescent="0.2">
      <c r="A34" s="71">
        <v>33</v>
      </c>
      <c r="B34" s="72">
        <v>2.7709999999999999</v>
      </c>
      <c r="C34" s="72">
        <v>0.78100000000000003</v>
      </c>
      <c r="D34" s="71">
        <v>2.028</v>
      </c>
      <c r="E34" s="72">
        <v>0.22600000000000001</v>
      </c>
    </row>
    <row r="35" spans="1:5" x14ac:dyDescent="0.2">
      <c r="A35" s="71">
        <v>33.5</v>
      </c>
      <c r="B35" s="72">
        <v>2.8420000000000001</v>
      </c>
      <c r="C35" s="72">
        <v>0.80100000000000005</v>
      </c>
      <c r="D35" s="71">
        <v>2.0790000000000002</v>
      </c>
      <c r="E35" s="72">
        <v>0.23200000000000001</v>
      </c>
    </row>
    <row r="36" spans="1:5" x14ac:dyDescent="0.2">
      <c r="A36" s="71">
        <v>34</v>
      </c>
      <c r="B36" s="72">
        <v>2.9119999999999999</v>
      </c>
      <c r="C36" s="72">
        <v>0.82099999999999995</v>
      </c>
      <c r="D36" s="71">
        <v>2.1309999999999998</v>
      </c>
      <c r="E36" s="72">
        <v>0.23799999999999999</v>
      </c>
    </row>
    <row r="37" spans="1:5" x14ac:dyDescent="0.2">
      <c r="A37" s="71">
        <v>34.5</v>
      </c>
      <c r="B37" s="72">
        <v>2.9870000000000001</v>
      </c>
      <c r="C37" s="72">
        <v>0.84199999999999997</v>
      </c>
      <c r="D37" s="71">
        <v>2.1850000000000001</v>
      </c>
      <c r="E37" s="72">
        <v>0.24399999999999999</v>
      </c>
    </row>
    <row r="38" spans="1:5" x14ac:dyDescent="0.2">
      <c r="A38" s="71">
        <v>35</v>
      </c>
      <c r="B38" s="72">
        <v>3.0609999999999999</v>
      </c>
      <c r="C38" s="72">
        <v>0.86299999999999999</v>
      </c>
      <c r="D38" s="71">
        <v>2.238</v>
      </c>
      <c r="E38" s="72">
        <v>0.25</v>
      </c>
    </row>
    <row r="39" spans="1:5" x14ac:dyDescent="0.2">
      <c r="A39" s="71">
        <v>35.5</v>
      </c>
      <c r="B39" s="72">
        <v>3.1389999999999998</v>
      </c>
      <c r="C39" s="72">
        <v>0.88500000000000001</v>
      </c>
      <c r="D39" s="71">
        <v>2.2949999999999999</v>
      </c>
      <c r="E39" s="72">
        <v>0.25700000000000001</v>
      </c>
    </row>
    <row r="40" spans="1:5" x14ac:dyDescent="0.2">
      <c r="A40" s="71">
        <v>36</v>
      </c>
      <c r="B40" s="72">
        <v>3.2170000000000001</v>
      </c>
      <c r="C40" s="72">
        <v>0.90800000000000003</v>
      </c>
      <c r="D40" s="71">
        <v>2.3519999999999999</v>
      </c>
      <c r="E40" s="72">
        <v>0.26300000000000001</v>
      </c>
    </row>
    <row r="41" spans="1:5" x14ac:dyDescent="0.2">
      <c r="A41" s="71">
        <v>36.5</v>
      </c>
      <c r="B41" s="72">
        <v>3.2989999999999999</v>
      </c>
      <c r="C41" s="72">
        <v>0.93100000000000005</v>
      </c>
      <c r="D41" s="71">
        <v>2.411</v>
      </c>
      <c r="E41" s="72">
        <v>0.27</v>
      </c>
    </row>
    <row r="42" spans="1:5" x14ac:dyDescent="0.2">
      <c r="A42" s="71">
        <v>37</v>
      </c>
      <c r="B42" s="72">
        <v>3.3820000000000001</v>
      </c>
      <c r="C42" s="72">
        <v>0.95399999999999996</v>
      </c>
      <c r="D42" s="71">
        <v>2.4710000000000001</v>
      </c>
      <c r="E42" s="72">
        <v>0.27700000000000002</v>
      </c>
    </row>
    <row r="43" spans="1:5" x14ac:dyDescent="0.2">
      <c r="A43" s="71">
        <v>37.5</v>
      </c>
      <c r="B43" s="72">
        <v>3.468</v>
      </c>
      <c r="C43" s="72">
        <v>0.97899999999999998</v>
      </c>
      <c r="D43" s="71">
        <v>2.5339999999999998</v>
      </c>
      <c r="E43" s="72">
        <v>0.28399999999999997</v>
      </c>
    </row>
    <row r="44" spans="1:5" x14ac:dyDescent="0.2">
      <c r="A44" s="71">
        <v>38</v>
      </c>
      <c r="B44" s="72">
        <v>3.5550000000000002</v>
      </c>
      <c r="C44" s="72">
        <v>1.004</v>
      </c>
      <c r="D44" s="71">
        <v>2.5960000000000001</v>
      </c>
      <c r="E44" s="72">
        <v>0.29099999999999998</v>
      </c>
    </row>
    <row r="45" spans="1:5" x14ac:dyDescent="0.2">
      <c r="A45" s="71">
        <v>38.5</v>
      </c>
      <c r="B45" s="72">
        <v>3.6459999999999999</v>
      </c>
      <c r="C45" s="72">
        <v>1.03</v>
      </c>
      <c r="D45" s="71">
        <v>2.6619999999999999</v>
      </c>
      <c r="E45" s="72">
        <v>0.29799999999999999</v>
      </c>
    </row>
    <row r="46" spans="1:5" x14ac:dyDescent="0.2">
      <c r="A46" s="71">
        <v>39</v>
      </c>
      <c r="B46" s="72">
        <v>3.738</v>
      </c>
      <c r="C46" s="72">
        <v>1.056</v>
      </c>
      <c r="D46" s="71">
        <v>2.7280000000000002</v>
      </c>
      <c r="E46" s="72">
        <v>0.30599999999999999</v>
      </c>
    </row>
    <row r="47" spans="1:5" x14ac:dyDescent="0.2">
      <c r="A47" s="71">
        <v>39.5</v>
      </c>
      <c r="B47" s="72">
        <v>3.8340000000000001</v>
      </c>
      <c r="C47" s="72">
        <v>1.083</v>
      </c>
      <c r="D47" s="71">
        <v>2.798</v>
      </c>
      <c r="E47" s="72">
        <v>0.314</v>
      </c>
    </row>
    <row r="48" spans="1:5" x14ac:dyDescent="0.2">
      <c r="A48" s="71">
        <v>40</v>
      </c>
      <c r="B48" s="72">
        <v>3.93</v>
      </c>
      <c r="C48" s="72">
        <v>1.111</v>
      </c>
      <c r="D48" s="71">
        <v>2.867</v>
      </c>
      <c r="E48" s="72">
        <v>0.32200000000000001</v>
      </c>
    </row>
    <row r="49" spans="1:5" x14ac:dyDescent="0.2">
      <c r="A49" s="71">
        <v>40.5</v>
      </c>
      <c r="B49" s="72">
        <v>4.0309999999999997</v>
      </c>
      <c r="C49" s="72">
        <v>1.1399999999999999</v>
      </c>
      <c r="D49" s="71">
        <v>2.94</v>
      </c>
      <c r="E49" s="72">
        <v>0.33</v>
      </c>
    </row>
    <row r="50" spans="1:5" x14ac:dyDescent="0.2">
      <c r="A50" s="71">
        <v>41</v>
      </c>
      <c r="B50" s="72">
        <v>4.133</v>
      </c>
      <c r="C50" s="72">
        <v>1.169</v>
      </c>
      <c r="D50" s="71">
        <v>3.0129999999999999</v>
      </c>
      <c r="E50" s="72">
        <v>0.33900000000000002</v>
      </c>
    </row>
    <row r="51" spans="1:5" x14ac:dyDescent="0.2">
      <c r="A51" s="71">
        <v>41.5</v>
      </c>
      <c r="B51" s="72">
        <v>4.24</v>
      </c>
      <c r="C51" s="72">
        <v>1.1990000000000001</v>
      </c>
      <c r="D51" s="71">
        <v>3.9390000000000001</v>
      </c>
      <c r="E51" s="72">
        <v>0.34799999999999998</v>
      </c>
    </row>
    <row r="52" spans="1:5" x14ac:dyDescent="0.2">
      <c r="A52" s="71">
        <v>42</v>
      </c>
      <c r="B52" s="72">
        <v>4.3470000000000004</v>
      </c>
      <c r="C52" s="72">
        <v>1.23</v>
      </c>
      <c r="D52" s="71">
        <v>4.8650000000000002</v>
      </c>
      <c r="E52" s="72">
        <v>0.35599999999999998</v>
      </c>
    </row>
    <row r="53" spans="1:5" x14ac:dyDescent="0.2">
      <c r="A53" s="71">
        <v>42.5</v>
      </c>
      <c r="B53" s="72">
        <v>4.46</v>
      </c>
      <c r="C53" s="72">
        <v>1.262</v>
      </c>
      <c r="D53" s="71">
        <v>4.99</v>
      </c>
      <c r="E53" s="72">
        <v>0.36599999999999999</v>
      </c>
    </row>
    <row r="54" spans="1:5" x14ac:dyDescent="0.2">
      <c r="A54" s="71">
        <v>43</v>
      </c>
      <c r="B54" s="72">
        <v>4.5730000000000004</v>
      </c>
      <c r="C54" s="72">
        <v>1.2949999999999999</v>
      </c>
      <c r="D54" s="71">
        <v>5.1139999999999999</v>
      </c>
      <c r="E54" s="72">
        <v>0.375</v>
      </c>
    </row>
    <row r="55" spans="1:5" x14ac:dyDescent="0.2">
      <c r="A55" s="71">
        <v>43.5</v>
      </c>
      <c r="B55" s="72">
        <v>4.6929999999999996</v>
      </c>
      <c r="C55" s="72">
        <v>1.329</v>
      </c>
      <c r="D55" s="71">
        <v>5.2460000000000004</v>
      </c>
      <c r="E55" s="72">
        <v>0.38500000000000001</v>
      </c>
    </row>
    <row r="56" spans="1:5" x14ac:dyDescent="0.2">
      <c r="A56" s="71">
        <v>44</v>
      </c>
      <c r="B56" s="72">
        <v>4.8120000000000003</v>
      </c>
      <c r="C56" s="72">
        <v>1.3640000000000001</v>
      </c>
      <c r="D56" s="71">
        <v>5.3769999999999998</v>
      </c>
      <c r="E56" s="72">
        <v>0.39500000000000002</v>
      </c>
    </row>
    <row r="57" spans="1:5" x14ac:dyDescent="0.2">
      <c r="A57" s="71">
        <v>44.5</v>
      </c>
      <c r="B57" s="72">
        <v>4.9379999999999997</v>
      </c>
      <c r="C57" s="72">
        <v>1.4</v>
      </c>
      <c r="D57" s="71">
        <v>5.516</v>
      </c>
      <c r="E57" s="72">
        <v>0.40500000000000003</v>
      </c>
    </row>
    <row r="58" spans="1:5" x14ac:dyDescent="0.2">
      <c r="A58" s="71">
        <v>45</v>
      </c>
      <c r="B58" s="72">
        <v>5.0640000000000001</v>
      </c>
      <c r="C58" s="72">
        <v>1.4359999999999999</v>
      </c>
      <c r="D58" s="71">
        <v>5.6539999999999999</v>
      </c>
      <c r="E58" s="72">
        <v>0.41599999999999998</v>
      </c>
    </row>
    <row r="59" spans="1:5" x14ac:dyDescent="0.2">
      <c r="A59" s="71">
        <v>45.5</v>
      </c>
      <c r="B59" s="72">
        <v>5.1980000000000004</v>
      </c>
      <c r="C59" s="72">
        <v>1.4750000000000001</v>
      </c>
      <c r="D59" s="71">
        <v>5.8</v>
      </c>
      <c r="E59" s="72">
        <v>0.42699999999999999</v>
      </c>
    </row>
    <row r="60" spans="1:5" x14ac:dyDescent="0.2">
      <c r="A60" s="71">
        <v>46</v>
      </c>
      <c r="B60" s="72">
        <v>5.3319999999999999</v>
      </c>
      <c r="C60" s="72">
        <v>1.514</v>
      </c>
      <c r="D60" s="71">
        <v>5.9470000000000001</v>
      </c>
      <c r="E60" s="72">
        <v>0.438</v>
      </c>
    </row>
    <row r="61" spans="1:5" x14ac:dyDescent="0.2">
      <c r="A61" s="71">
        <v>46.5</v>
      </c>
      <c r="B61" s="72">
        <v>5.4729999999999999</v>
      </c>
      <c r="C61" s="72">
        <v>1.5549999999999999</v>
      </c>
      <c r="D61" s="71">
        <v>6.101</v>
      </c>
      <c r="E61" s="72">
        <v>0.45</v>
      </c>
    </row>
    <row r="62" spans="1:5" x14ac:dyDescent="0.2">
      <c r="A62" s="71">
        <v>47</v>
      </c>
      <c r="B62" s="72">
        <v>5.6139999999999999</v>
      </c>
      <c r="C62" s="72">
        <v>1.5960000000000001</v>
      </c>
      <c r="D62" s="71">
        <v>6.2549999999999999</v>
      </c>
      <c r="E62" s="72">
        <v>0.46100000000000002</v>
      </c>
    </row>
    <row r="63" spans="1:5" x14ac:dyDescent="0.2">
      <c r="A63" s="71">
        <v>47.5</v>
      </c>
      <c r="B63" s="72">
        <v>5.7640000000000002</v>
      </c>
      <c r="C63" s="72">
        <v>1.639</v>
      </c>
      <c r="D63" s="71">
        <v>6.4189999999999996</v>
      </c>
      <c r="E63" s="72">
        <v>0.47399999999999998</v>
      </c>
    </row>
    <row r="64" spans="1:5" x14ac:dyDescent="0.2">
      <c r="A64" s="71">
        <v>48</v>
      </c>
      <c r="B64" s="72">
        <v>5.9139999999999997</v>
      </c>
      <c r="C64" s="72">
        <v>1.6830000000000001</v>
      </c>
      <c r="D64" s="71">
        <v>6.5819999999999999</v>
      </c>
      <c r="E64" s="72">
        <v>0.48599999999999999</v>
      </c>
    </row>
    <row r="65" spans="1:5" x14ac:dyDescent="0.2">
      <c r="A65" s="71">
        <v>48.5</v>
      </c>
      <c r="B65" s="72">
        <v>6.0730000000000004</v>
      </c>
      <c r="C65" s="72">
        <v>1.7290000000000001</v>
      </c>
      <c r="D65" s="71">
        <v>6.7539999999999996</v>
      </c>
      <c r="E65" s="72">
        <v>0.5</v>
      </c>
    </row>
    <row r="66" spans="1:5" x14ac:dyDescent="0.2">
      <c r="A66" s="71">
        <v>49</v>
      </c>
      <c r="B66" s="72">
        <v>6.2320000000000002</v>
      </c>
      <c r="C66" s="72">
        <v>1.7749999999999999</v>
      </c>
      <c r="D66" s="71">
        <v>6.9260000000000002</v>
      </c>
      <c r="E66" s="72">
        <v>0.51300000000000001</v>
      </c>
    </row>
    <row r="67" spans="1:5" x14ac:dyDescent="0.2">
      <c r="A67" s="71">
        <v>49.5</v>
      </c>
      <c r="B67" s="72">
        <v>6.4</v>
      </c>
      <c r="C67" s="72">
        <v>1.825</v>
      </c>
      <c r="D67" s="71">
        <v>7.109</v>
      </c>
      <c r="E67" s="72">
        <v>0.52700000000000002</v>
      </c>
    </row>
    <row r="68" spans="1:5" x14ac:dyDescent="0.2">
      <c r="A68" s="71">
        <v>50</v>
      </c>
      <c r="B68" s="72">
        <v>6.569</v>
      </c>
      <c r="C68" s="72">
        <v>1.8740000000000001</v>
      </c>
      <c r="D68" s="71">
        <v>7.2910000000000004</v>
      </c>
      <c r="E68" s="72">
        <v>0.54100000000000004</v>
      </c>
    </row>
    <row r="69" spans="1:5" x14ac:dyDescent="0.2">
      <c r="A69" s="71">
        <v>50.5</v>
      </c>
      <c r="B69" s="72">
        <v>6.7480000000000002</v>
      </c>
      <c r="C69" s="72">
        <v>1.927</v>
      </c>
      <c r="D69" s="71">
        <v>7.484</v>
      </c>
      <c r="E69" s="72">
        <v>0.55600000000000005</v>
      </c>
    </row>
    <row r="70" spans="1:5" x14ac:dyDescent="0.2">
      <c r="A70" s="71">
        <v>51</v>
      </c>
      <c r="B70" s="72">
        <v>6.9279999999999999</v>
      </c>
      <c r="C70" s="72">
        <v>1.98</v>
      </c>
      <c r="D70" s="71">
        <v>5.6769999999999996</v>
      </c>
      <c r="E70" s="72">
        <v>0.57199999999999995</v>
      </c>
    </row>
    <row r="71" spans="1:5" x14ac:dyDescent="0.2">
      <c r="A71" s="71">
        <v>51.5</v>
      </c>
      <c r="B71" s="72">
        <v>7.1189999999999998</v>
      </c>
      <c r="C71" s="72">
        <v>2.036</v>
      </c>
      <c r="D71" s="71">
        <v>7.8819999999999997</v>
      </c>
      <c r="E71" s="72">
        <v>0.58799999999999997</v>
      </c>
    </row>
    <row r="72" spans="1:5" x14ac:dyDescent="0.2">
      <c r="A72" s="71">
        <v>52</v>
      </c>
      <c r="B72" s="72">
        <v>7.3090000000000002</v>
      </c>
      <c r="C72" s="72">
        <v>2.093</v>
      </c>
      <c r="D72" s="71">
        <v>8.0860000000000003</v>
      </c>
      <c r="E72" s="72">
        <v>0.60399999999999998</v>
      </c>
    </row>
    <row r="73" spans="1:5" x14ac:dyDescent="0.2">
      <c r="A73" s="71">
        <v>52.5</v>
      </c>
      <c r="B73" s="72">
        <v>7.5129999999999999</v>
      </c>
      <c r="C73" s="72">
        <v>2.153</v>
      </c>
      <c r="D73" s="71">
        <v>8.3030000000000008</v>
      </c>
      <c r="E73" s="72">
        <v>0.621</v>
      </c>
    </row>
    <row r="74" spans="1:5" x14ac:dyDescent="0.2">
      <c r="A74" s="71">
        <v>53</v>
      </c>
      <c r="B74" s="72">
        <v>7.7160000000000002</v>
      </c>
      <c r="C74" s="72">
        <v>2.214</v>
      </c>
      <c r="D74" s="71">
        <v>8.5210000000000008</v>
      </c>
      <c r="E74" s="72">
        <v>0.63800000000000001</v>
      </c>
    </row>
    <row r="75" spans="1:5" x14ac:dyDescent="0.2">
      <c r="A75" s="71">
        <v>53.5</v>
      </c>
      <c r="B75" s="72">
        <v>7.9930000000000003</v>
      </c>
      <c r="C75" s="72">
        <v>2.2789999999999999</v>
      </c>
      <c r="D75" s="71">
        <v>8.7509999999999994</v>
      </c>
      <c r="E75" s="72">
        <v>0.65700000000000003</v>
      </c>
    </row>
    <row r="76" spans="1:5" x14ac:dyDescent="0.2">
      <c r="A76" s="71">
        <v>54</v>
      </c>
      <c r="B76" s="72">
        <v>8.15</v>
      </c>
      <c r="C76" s="72">
        <v>2.3439999999999999</v>
      </c>
      <c r="D76" s="71">
        <v>8.9809999999999999</v>
      </c>
      <c r="E76" s="72">
        <v>0.67500000000000004</v>
      </c>
    </row>
    <row r="77" spans="1:5" x14ac:dyDescent="0.2">
      <c r="A77" s="71">
        <v>54.5</v>
      </c>
      <c r="B77" s="72">
        <v>8.3829999999999991</v>
      </c>
      <c r="C77" s="72">
        <v>2.4140000000000001</v>
      </c>
      <c r="D77" s="72">
        <v>9.2270000000000003</v>
      </c>
      <c r="E77" s="72">
        <v>0.69499999999999995</v>
      </c>
    </row>
    <row r="78" spans="1:5" x14ac:dyDescent="0.2">
      <c r="A78" s="71">
        <v>55</v>
      </c>
      <c r="B78" s="72">
        <v>8.6150000000000002</v>
      </c>
      <c r="C78" s="72">
        <v>2.484</v>
      </c>
      <c r="D78" s="71">
        <v>9.4719999999999995</v>
      </c>
      <c r="E78" s="72">
        <v>0.71499999999999997</v>
      </c>
    </row>
    <row r="79" spans="1:5" x14ac:dyDescent="0.2">
      <c r="A79" s="71">
        <v>55.5</v>
      </c>
      <c r="B79" s="72">
        <v>8.8629999999999995</v>
      </c>
      <c r="C79" s="72">
        <v>2.5590000000000002</v>
      </c>
      <c r="D79" s="71">
        <v>9.7330000000000005</v>
      </c>
      <c r="E79" s="72">
        <v>0.73599999999999999</v>
      </c>
    </row>
    <row r="80" spans="1:5" x14ac:dyDescent="0.2">
      <c r="A80" s="71">
        <v>56</v>
      </c>
      <c r="B80" s="72">
        <v>9.1120000000000001</v>
      </c>
      <c r="C80" s="72">
        <v>2.6339999999999999</v>
      </c>
      <c r="D80" s="71">
        <v>9.9939999999999998</v>
      </c>
      <c r="E80" s="72">
        <v>0.75700000000000001</v>
      </c>
    </row>
    <row r="81" spans="1:5" x14ac:dyDescent="0.2">
      <c r="A81" s="71">
        <v>56.5</v>
      </c>
      <c r="B81" s="72">
        <v>9.3789999999999996</v>
      </c>
      <c r="C81" s="72">
        <v>2.7160000000000002</v>
      </c>
      <c r="D81" s="71">
        <v>10.272</v>
      </c>
      <c r="E81" s="72">
        <v>0.78</v>
      </c>
    </row>
    <row r="82" spans="1:5" x14ac:dyDescent="0.2">
      <c r="A82" s="71">
        <v>57</v>
      </c>
      <c r="B82" s="72">
        <v>9.6460000000000008</v>
      </c>
      <c r="C82" s="72">
        <v>2.7970000000000002</v>
      </c>
      <c r="D82" s="71">
        <v>10.55</v>
      </c>
      <c r="E82" s="72">
        <v>0.80300000000000005</v>
      </c>
    </row>
    <row r="83" spans="1:5" x14ac:dyDescent="0.2">
      <c r="A83" s="71">
        <v>57.5</v>
      </c>
      <c r="B83" s="72">
        <v>9.9329999999999998</v>
      </c>
      <c r="C83" s="72">
        <v>2.8860000000000001</v>
      </c>
      <c r="D83" s="71">
        <v>10.847</v>
      </c>
      <c r="E83" s="72">
        <v>0.82799999999999996</v>
      </c>
    </row>
    <row r="84" spans="1:5" x14ac:dyDescent="0.2">
      <c r="A84" s="71">
        <v>58</v>
      </c>
      <c r="B84" s="72">
        <v>10.220000000000001</v>
      </c>
      <c r="C84" s="72">
        <v>2.9740000000000002</v>
      </c>
      <c r="D84" s="71">
        <v>11.145</v>
      </c>
      <c r="E84" s="72">
        <v>0.85299999999999998</v>
      </c>
    </row>
    <row r="85" spans="1:5" x14ac:dyDescent="0.2">
      <c r="A85" s="71">
        <v>58.5</v>
      </c>
      <c r="B85" s="72">
        <v>10.53</v>
      </c>
      <c r="C85" s="72">
        <v>3.0710000000000002</v>
      </c>
      <c r="D85" s="71">
        <v>11.462999999999999</v>
      </c>
      <c r="E85" s="72">
        <v>0.88</v>
      </c>
    </row>
    <row r="86" spans="1:5" x14ac:dyDescent="0.2">
      <c r="A86" s="71">
        <v>59</v>
      </c>
      <c r="B86" s="72">
        <v>10.839</v>
      </c>
      <c r="C86" s="72">
        <v>3.1669999999999998</v>
      </c>
      <c r="D86" s="71">
        <v>11.781000000000001</v>
      </c>
      <c r="E86" s="72">
        <v>0.90700000000000003</v>
      </c>
    </row>
    <row r="87" spans="1:5" x14ac:dyDescent="0.2">
      <c r="A87" s="71">
        <v>59.5</v>
      </c>
      <c r="B87" s="72">
        <v>11.173999999999999</v>
      </c>
      <c r="C87" s="72">
        <v>3.2719999999999998</v>
      </c>
      <c r="D87" s="71">
        <v>12.122</v>
      </c>
      <c r="E87" s="72">
        <v>0.93700000000000006</v>
      </c>
    </row>
    <row r="88" spans="1:5" x14ac:dyDescent="0.2">
      <c r="A88" s="71">
        <v>60</v>
      </c>
      <c r="B88" s="72">
        <v>11.509</v>
      </c>
      <c r="C88" s="72">
        <v>3.3769999999999998</v>
      </c>
      <c r="D88" s="71">
        <v>12.462999999999999</v>
      </c>
      <c r="E88" s="71">
        <v>0.96599999999999997</v>
      </c>
    </row>
    <row r="89" spans="1:5" x14ac:dyDescent="0.2">
      <c r="A89" s="71">
        <v>60.5</v>
      </c>
      <c r="B89" s="73">
        <v>11.509</v>
      </c>
      <c r="C89" s="73">
        <v>3.3769999999999998</v>
      </c>
      <c r="D89" s="74">
        <v>12.462999999999999</v>
      </c>
      <c r="E89" s="74">
        <v>0.96599999999999997</v>
      </c>
    </row>
    <row r="90" spans="1:5" x14ac:dyDescent="0.2">
      <c r="A90" s="71">
        <v>61</v>
      </c>
      <c r="B90" s="73">
        <v>11.509</v>
      </c>
      <c r="C90" s="73">
        <v>3.3769999999999998</v>
      </c>
      <c r="D90" s="74">
        <v>12.462999999999999</v>
      </c>
      <c r="E90" s="74">
        <v>0.96599999999999997</v>
      </c>
    </row>
    <row r="91" spans="1:5" x14ac:dyDescent="0.2">
      <c r="A91" s="71">
        <v>61.5</v>
      </c>
      <c r="B91" s="73">
        <v>11.509</v>
      </c>
      <c r="C91" s="73">
        <v>3.3769999999999998</v>
      </c>
      <c r="D91" s="74">
        <v>12.462999999999999</v>
      </c>
      <c r="E91" s="74">
        <v>0.96599999999999997</v>
      </c>
    </row>
    <row r="92" spans="1:5" x14ac:dyDescent="0.2">
      <c r="A92" s="71">
        <v>62</v>
      </c>
      <c r="B92" s="73">
        <v>11.509</v>
      </c>
      <c r="C92" s="73">
        <v>3.3769999999999998</v>
      </c>
      <c r="D92" s="74">
        <v>12.462999999999999</v>
      </c>
      <c r="E92" s="74">
        <v>0.96599999999999997</v>
      </c>
    </row>
    <row r="93" spans="1:5" x14ac:dyDescent="0.2">
      <c r="A93" s="71">
        <v>62.5</v>
      </c>
      <c r="B93" s="73">
        <v>11.509</v>
      </c>
      <c r="C93" s="73">
        <v>3.3769999999999998</v>
      </c>
      <c r="D93" s="74">
        <v>12.462999999999999</v>
      </c>
      <c r="E93" s="74">
        <v>0.96599999999999997</v>
      </c>
    </row>
    <row r="94" spans="1:5" x14ac:dyDescent="0.2">
      <c r="A94" s="71">
        <v>63</v>
      </c>
      <c r="B94" s="73">
        <v>11.509</v>
      </c>
      <c r="C94" s="73">
        <v>3.3769999999999998</v>
      </c>
      <c r="D94" s="74">
        <v>12.462999999999999</v>
      </c>
      <c r="E94" s="74">
        <v>0.96599999999999997</v>
      </c>
    </row>
    <row r="95" spans="1:5" x14ac:dyDescent="0.2">
      <c r="A95" s="71">
        <v>63.5</v>
      </c>
      <c r="B95" s="73">
        <v>11.509</v>
      </c>
      <c r="C95" s="73">
        <v>3.3769999999999998</v>
      </c>
      <c r="D95" s="74">
        <v>12.462999999999999</v>
      </c>
      <c r="E95" s="74">
        <v>0.96599999999999997</v>
      </c>
    </row>
    <row r="96" spans="1:5" x14ac:dyDescent="0.2">
      <c r="A96" s="71">
        <v>64</v>
      </c>
      <c r="B96" s="73">
        <v>11.509</v>
      </c>
      <c r="C96" s="73">
        <v>3.3769999999999998</v>
      </c>
      <c r="D96" s="74">
        <v>12.462999999999999</v>
      </c>
      <c r="E96" s="74">
        <v>0.96599999999999997</v>
      </c>
    </row>
    <row r="97" spans="1:5" x14ac:dyDescent="0.2">
      <c r="A97" s="71">
        <v>64.5</v>
      </c>
      <c r="B97" s="73">
        <v>11.509</v>
      </c>
      <c r="C97" s="73">
        <v>3.3769999999999998</v>
      </c>
      <c r="D97" s="74">
        <v>12.462999999999999</v>
      </c>
      <c r="E97" s="74">
        <v>0.96599999999999997</v>
      </c>
    </row>
    <row r="98" spans="1:5" x14ac:dyDescent="0.2">
      <c r="A98" s="71">
        <v>65</v>
      </c>
      <c r="B98" s="73">
        <v>11.509</v>
      </c>
      <c r="C98" s="73">
        <v>3.3769999999999998</v>
      </c>
      <c r="D98" s="74">
        <v>12.462999999999999</v>
      </c>
      <c r="E98" s="74">
        <v>0.96599999999999997</v>
      </c>
    </row>
    <row r="99" spans="1:5" x14ac:dyDescent="0.2">
      <c r="A99" s="71" t="s">
        <v>379</v>
      </c>
      <c r="B99" s="75"/>
      <c r="C99" s="75"/>
      <c r="D99" s="75"/>
      <c r="E99" s="7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N202"/>
  <sheetViews>
    <sheetView rightToLeft="1" workbookViewId="0">
      <selection activeCell="B109" sqref="B109:D119"/>
    </sheetView>
  </sheetViews>
  <sheetFormatPr defaultColWidth="8.75" defaultRowHeight="15" x14ac:dyDescent="0.25"/>
  <cols>
    <col min="1" max="1" width="8.75" style="1"/>
    <col min="2" max="2" width="42.25" style="1" bestFit="1" customWidth="1"/>
    <col min="3" max="3" width="52.75" style="1" bestFit="1" customWidth="1"/>
    <col min="4" max="4" width="15.375" style="1" bestFit="1" customWidth="1"/>
    <col min="5" max="16384" width="8.75" style="1"/>
  </cols>
  <sheetData>
    <row r="2" spans="1:3" x14ac:dyDescent="0.25">
      <c r="B2" s="1" t="s">
        <v>162</v>
      </c>
    </row>
    <row r="4" spans="1:3" x14ac:dyDescent="0.25">
      <c r="A4" s="1">
        <v>1</v>
      </c>
      <c r="B4" s="31" t="s">
        <v>4</v>
      </c>
    </row>
    <row r="5" spans="1:3" x14ac:dyDescent="0.25">
      <c r="B5" s="45" t="s">
        <v>165</v>
      </c>
      <c r="C5" s="45" t="s">
        <v>166</v>
      </c>
    </row>
    <row r="6" spans="1:3" x14ac:dyDescent="0.25">
      <c r="B6" s="6" t="s">
        <v>163</v>
      </c>
      <c r="C6" s="6" t="s">
        <v>164</v>
      </c>
    </row>
    <row r="7" spans="1:3" x14ac:dyDescent="0.25">
      <c r="B7" s="6" t="s">
        <v>7</v>
      </c>
      <c r="C7" s="6" t="s">
        <v>167</v>
      </c>
    </row>
    <row r="8" spans="1:3" x14ac:dyDescent="0.25">
      <c r="B8" s="6" t="s">
        <v>8</v>
      </c>
      <c r="C8" s="6" t="s">
        <v>167</v>
      </c>
    </row>
    <row r="9" spans="1:3" x14ac:dyDescent="0.25">
      <c r="B9" s="6" t="s">
        <v>75</v>
      </c>
      <c r="C9" s="6" t="s">
        <v>167</v>
      </c>
    </row>
    <row r="10" spans="1:3" x14ac:dyDescent="0.25">
      <c r="B10" s="6" t="s">
        <v>80</v>
      </c>
      <c r="C10" s="6" t="s">
        <v>167</v>
      </c>
    </row>
    <row r="11" spans="1:3" x14ac:dyDescent="0.25">
      <c r="B11" s="6" t="s">
        <v>77</v>
      </c>
      <c r="C11" s="6" t="s">
        <v>167</v>
      </c>
    </row>
    <row r="12" spans="1:3" x14ac:dyDescent="0.25">
      <c r="B12" s="6" t="s">
        <v>549</v>
      </c>
      <c r="C12" s="6" t="s">
        <v>548</v>
      </c>
    </row>
    <row r="13" spans="1:3" x14ac:dyDescent="0.25">
      <c r="B13" s="6" t="s">
        <v>168</v>
      </c>
      <c r="C13" s="6" t="s">
        <v>169</v>
      </c>
    </row>
    <row r="14" spans="1:3" x14ac:dyDescent="0.25">
      <c r="B14" s="6" t="s">
        <v>170</v>
      </c>
      <c r="C14" s="6" t="s">
        <v>171</v>
      </c>
    </row>
    <row r="15" spans="1:3" x14ac:dyDescent="0.25">
      <c r="B15" s="6" t="s">
        <v>172</v>
      </c>
      <c r="C15" s="6" t="s">
        <v>546</v>
      </c>
    </row>
    <row r="16" spans="1:3" ht="7.15" customHeight="1" x14ac:dyDescent="0.25"/>
    <row r="17" spans="1:6" x14ac:dyDescent="0.25">
      <c r="B17" s="6" t="s">
        <v>547</v>
      </c>
      <c r="C17" s="6" t="s">
        <v>181</v>
      </c>
    </row>
    <row r="18" spans="1:6" x14ac:dyDescent="0.25">
      <c r="B18" s="6" t="s">
        <v>182</v>
      </c>
      <c r="C18" s="6" t="s">
        <v>181</v>
      </c>
    </row>
    <row r="19" spans="1:6" x14ac:dyDescent="0.25">
      <c r="B19" s="6" t="s">
        <v>183</v>
      </c>
      <c r="C19" s="6" t="s">
        <v>181</v>
      </c>
    </row>
    <row r="20" spans="1:6" x14ac:dyDescent="0.25">
      <c r="B20" s="6" t="s">
        <v>537</v>
      </c>
      <c r="C20" s="6" t="s">
        <v>550</v>
      </c>
    </row>
    <row r="21" spans="1:6" x14ac:dyDescent="0.25">
      <c r="B21" s="62"/>
      <c r="C21" s="62"/>
    </row>
    <row r="23" spans="1:6" x14ac:dyDescent="0.25">
      <c r="A23" s="1">
        <v>2</v>
      </c>
      <c r="B23" s="15" t="s">
        <v>69</v>
      </c>
    </row>
    <row r="24" spans="1:6" x14ac:dyDescent="0.25">
      <c r="B24" s="1" t="s">
        <v>186</v>
      </c>
    </row>
    <row r="25" spans="1:6" ht="75" x14ac:dyDescent="0.25">
      <c r="B25" s="8" t="s">
        <v>60</v>
      </c>
      <c r="C25" s="8" t="s">
        <v>61</v>
      </c>
      <c r="D25" s="21" t="s">
        <v>62</v>
      </c>
      <c r="E25" s="8" t="s">
        <v>63</v>
      </c>
      <c r="F25" s="4" t="s">
        <v>89</v>
      </c>
    </row>
    <row r="26" spans="1:6" x14ac:dyDescent="0.25">
      <c r="B26" s="19">
        <v>32874</v>
      </c>
      <c r="C26" s="19">
        <v>33603</v>
      </c>
      <c r="D26" s="22">
        <f>(DATE(YEAR(C26),MONTH(C26)+IF(DAY(C26)&gt;15,1,0),1)-DATE(YEAR(B26),MONTH(B26)+IF((DATE(YEAR(B26),MONTH(B26)+1,1)-B26)&lt;16,1,0),1))/365.25</f>
        <v>1.998631074606434</v>
      </c>
      <c r="E26" s="20">
        <v>0.8</v>
      </c>
      <c r="F26" s="29">
        <f>D26*E26</f>
        <v>1.5989048596851472</v>
      </c>
    </row>
    <row r="27" spans="1:6" x14ac:dyDescent="0.25">
      <c r="B27" s="19">
        <v>33604</v>
      </c>
      <c r="C27" s="19">
        <v>36891</v>
      </c>
      <c r="D27" s="22">
        <f t="shared" ref="D27:D32" si="0">(DATE(YEAR(C27),MONTH(C27)+IF(DAY(C27)&gt;15,1,0),1)-DATE(YEAR(B27),MONTH(B27)+IF((DATE(YEAR(B27),MONTH(B27)+1,1)-B27)&lt;16,1,0),1))/365.25</f>
        <v>9.0020533880903493</v>
      </c>
      <c r="E27" s="20">
        <v>1</v>
      </c>
      <c r="F27" s="29">
        <f>D27*E27</f>
        <v>9.0020533880903493</v>
      </c>
    </row>
    <row r="28" spans="1:6" x14ac:dyDescent="0.25">
      <c r="B28" s="19">
        <v>36892</v>
      </c>
      <c r="C28" s="19">
        <v>37256</v>
      </c>
      <c r="D28" s="22">
        <f t="shared" si="0"/>
        <v>0.99931553730321698</v>
      </c>
      <c r="E28" s="20">
        <v>0</v>
      </c>
      <c r="F28" s="29"/>
    </row>
    <row r="29" spans="1:6" x14ac:dyDescent="0.25">
      <c r="B29" s="19">
        <v>37257</v>
      </c>
      <c r="C29" s="19">
        <v>37986</v>
      </c>
      <c r="D29" s="22">
        <f t="shared" si="0"/>
        <v>1.998631074606434</v>
      </c>
      <c r="E29" s="20">
        <v>0.25</v>
      </c>
      <c r="F29" s="29"/>
    </row>
    <row r="30" spans="1:6" x14ac:dyDescent="0.25">
      <c r="B30" s="19">
        <v>37987</v>
      </c>
      <c r="C30" s="19">
        <v>39457</v>
      </c>
      <c r="D30" s="22">
        <f t="shared" si="0"/>
        <v>4</v>
      </c>
      <c r="E30" s="20">
        <v>0.6</v>
      </c>
      <c r="F30" s="29">
        <f>D30*E30</f>
        <v>2.4</v>
      </c>
    </row>
    <row r="31" spans="1:6" x14ac:dyDescent="0.25">
      <c r="B31" s="19">
        <v>39458</v>
      </c>
      <c r="C31" s="19">
        <v>42369</v>
      </c>
      <c r="D31" s="22">
        <f t="shared" si="0"/>
        <v>8</v>
      </c>
      <c r="E31" s="20">
        <v>1</v>
      </c>
      <c r="F31" s="29">
        <f>D31*E31</f>
        <v>8</v>
      </c>
    </row>
    <row r="32" spans="1:6" x14ac:dyDescent="0.25">
      <c r="B32" s="19">
        <v>42370</v>
      </c>
      <c r="C32" s="19">
        <v>45291</v>
      </c>
      <c r="D32" s="22">
        <f t="shared" si="0"/>
        <v>8</v>
      </c>
      <c r="E32" s="20">
        <v>0.9</v>
      </c>
      <c r="F32" s="29">
        <f>D32*E32</f>
        <v>7.2</v>
      </c>
    </row>
    <row r="33" spans="1:6" x14ac:dyDescent="0.25">
      <c r="D33" s="29">
        <f>SUM(D26:D32)</f>
        <v>33.998631074606436</v>
      </c>
      <c r="F33" s="29">
        <f>SUM(F26:F32)</f>
        <v>28.200958247775496</v>
      </c>
    </row>
    <row r="34" spans="1:6" x14ac:dyDescent="0.25">
      <c r="D34" s="29"/>
      <c r="F34" s="29"/>
    </row>
    <row r="35" spans="1:6" x14ac:dyDescent="0.25">
      <c r="B35" s="62"/>
      <c r="C35" s="62"/>
      <c r="D35" s="29"/>
    </row>
    <row r="36" spans="1:6" x14ac:dyDescent="0.25">
      <c r="A36" s="15">
        <v>4</v>
      </c>
      <c r="B36" s="15" t="s">
        <v>187</v>
      </c>
    </row>
    <row r="37" spans="1:6" x14ac:dyDescent="0.25">
      <c r="B37" s="1" t="s">
        <v>188</v>
      </c>
    </row>
    <row r="38" spans="1:6" x14ac:dyDescent="0.25">
      <c r="B38" s="1" t="s">
        <v>194</v>
      </c>
    </row>
    <row r="39" spans="1:6" x14ac:dyDescent="0.25">
      <c r="B39" s="1" t="s">
        <v>190</v>
      </c>
    </row>
    <row r="40" spans="1:6" x14ac:dyDescent="0.25">
      <c r="B40" s="1" t="s">
        <v>146</v>
      </c>
    </row>
    <row r="41" spans="1:6" x14ac:dyDescent="0.25">
      <c r="B41" s="1" t="s">
        <v>189</v>
      </c>
    </row>
    <row r="42" spans="1:6" x14ac:dyDescent="0.25">
      <c r="B42" s="1" t="s">
        <v>20</v>
      </c>
    </row>
    <row r="43" spans="1:6" x14ac:dyDescent="0.25">
      <c r="B43" s="1" t="s">
        <v>53</v>
      </c>
    </row>
    <row r="44" spans="1:6" x14ac:dyDescent="0.25">
      <c r="B44" s="1" t="s">
        <v>572</v>
      </c>
    </row>
    <row r="45" spans="1:6" x14ac:dyDescent="0.25">
      <c r="B45" s="56" t="s">
        <v>551</v>
      </c>
    </row>
    <row r="47" spans="1:6" x14ac:dyDescent="0.25">
      <c r="B47" s="58" t="s">
        <v>269</v>
      </c>
    </row>
    <row r="48" spans="1:6" x14ac:dyDescent="0.25">
      <c r="B48" s="1" t="s">
        <v>573</v>
      </c>
    </row>
    <row r="51" spans="2:4" x14ac:dyDescent="0.25">
      <c r="B51" s="31" t="s">
        <v>510</v>
      </c>
    </row>
    <row r="52" spans="2:4" x14ac:dyDescent="0.25">
      <c r="B52" s="31"/>
    </row>
    <row r="53" spans="2:4" x14ac:dyDescent="0.25">
      <c r="B53" s="31" t="s">
        <v>583</v>
      </c>
    </row>
    <row r="54" spans="2:4" x14ac:dyDescent="0.25">
      <c r="B54" s="6" t="s">
        <v>165</v>
      </c>
      <c r="C54" s="6" t="s">
        <v>245</v>
      </c>
      <c r="D54" s="6" t="s">
        <v>250</v>
      </c>
    </row>
    <row r="55" spans="2:4" ht="30" x14ac:dyDescent="0.25">
      <c r="B55" s="6" t="s">
        <v>575</v>
      </c>
      <c r="C55" s="7" t="s">
        <v>576</v>
      </c>
      <c r="D55" s="6" t="s">
        <v>577</v>
      </c>
    </row>
    <row r="56" spans="2:4" x14ac:dyDescent="0.25">
      <c r="B56" s="6" t="s">
        <v>511</v>
      </c>
      <c r="C56" s="7" t="s">
        <v>492</v>
      </c>
      <c r="D56" s="6">
        <v>2</v>
      </c>
    </row>
    <row r="57" spans="2:4" x14ac:dyDescent="0.25">
      <c r="B57" s="6" t="s">
        <v>410</v>
      </c>
      <c r="C57" s="7" t="s">
        <v>574</v>
      </c>
      <c r="D57" s="40">
        <v>0.25</v>
      </c>
    </row>
    <row r="58" spans="2:4" x14ac:dyDescent="0.25">
      <c r="B58" s="6" t="s">
        <v>559</v>
      </c>
      <c r="C58" s="7" t="s">
        <v>586</v>
      </c>
      <c r="D58" s="47">
        <v>12000</v>
      </c>
    </row>
    <row r="59" spans="2:4" x14ac:dyDescent="0.25">
      <c r="B59" s="6" t="s">
        <v>537</v>
      </c>
      <c r="C59" s="7" t="s">
        <v>167</v>
      </c>
      <c r="D59" s="103">
        <v>0.06</v>
      </c>
    </row>
    <row r="60" spans="2:4" ht="45" x14ac:dyDescent="0.25">
      <c r="B60" s="11" t="s">
        <v>582</v>
      </c>
      <c r="C60" s="12" t="s">
        <v>585</v>
      </c>
      <c r="D60" s="105">
        <f>D56*D57*D58*0.28</f>
        <v>1680.0000000000002</v>
      </c>
    </row>
    <row r="62" spans="2:4" x14ac:dyDescent="0.25">
      <c r="B62" s="31" t="s">
        <v>584</v>
      </c>
    </row>
    <row r="63" spans="2:4" x14ac:dyDescent="0.25">
      <c r="B63" s="6" t="s">
        <v>165</v>
      </c>
      <c r="C63" s="6" t="s">
        <v>245</v>
      </c>
      <c r="D63" s="6" t="s">
        <v>250</v>
      </c>
    </row>
    <row r="64" spans="2:4" ht="30" x14ac:dyDescent="0.25">
      <c r="B64" s="6" t="s">
        <v>575</v>
      </c>
      <c r="C64" s="7" t="s">
        <v>576</v>
      </c>
      <c r="D64" s="6" t="s">
        <v>577</v>
      </c>
    </row>
    <row r="65" spans="2:4" x14ac:dyDescent="0.25">
      <c r="B65" s="6" t="s">
        <v>511</v>
      </c>
      <c r="C65" s="7" t="s">
        <v>492</v>
      </c>
      <c r="D65" s="6">
        <v>15</v>
      </c>
    </row>
    <row r="66" spans="2:4" x14ac:dyDescent="0.25">
      <c r="B66" s="6" t="s">
        <v>410</v>
      </c>
      <c r="C66" s="7" t="s">
        <v>574</v>
      </c>
      <c r="D66" s="40">
        <v>0.25</v>
      </c>
    </row>
    <row r="67" spans="2:4" x14ac:dyDescent="0.25">
      <c r="B67" s="6" t="s">
        <v>559</v>
      </c>
      <c r="C67" s="7" t="s">
        <v>586</v>
      </c>
      <c r="D67" s="47">
        <v>12000</v>
      </c>
    </row>
    <row r="68" spans="2:4" x14ac:dyDescent="0.25">
      <c r="B68" s="6" t="s">
        <v>537</v>
      </c>
      <c r="C68" s="7" t="s">
        <v>167</v>
      </c>
      <c r="D68" s="103">
        <v>8.3299999999999999E-2</v>
      </c>
    </row>
    <row r="69" spans="2:4" x14ac:dyDescent="0.25">
      <c r="B69" s="6" t="s">
        <v>578</v>
      </c>
      <c r="C69" s="6" t="s">
        <v>579</v>
      </c>
      <c r="D69" s="104">
        <v>30000</v>
      </c>
    </row>
    <row r="70" spans="2:4" ht="60" x14ac:dyDescent="0.25">
      <c r="B70" s="6" t="s">
        <v>582</v>
      </c>
      <c r="C70" s="7" t="s">
        <v>587</v>
      </c>
      <c r="D70" s="48">
        <f>D65*D67*D66-D69</f>
        <v>15000</v>
      </c>
    </row>
    <row r="71" spans="2:4" x14ac:dyDescent="0.25">
      <c r="B71" s="6"/>
      <c r="C71" s="6"/>
      <c r="D71" s="6"/>
    </row>
    <row r="72" spans="2:4" x14ac:dyDescent="0.25">
      <c r="B72" s="6"/>
      <c r="C72" s="6"/>
      <c r="D72" s="6"/>
    </row>
    <row r="77" spans="2:4" x14ac:dyDescent="0.25">
      <c r="B77" s="56" t="s">
        <v>552</v>
      </c>
    </row>
    <row r="78" spans="2:4" x14ac:dyDescent="0.25">
      <c r="B78" s="31" t="s">
        <v>553</v>
      </c>
    </row>
    <row r="79" spans="2:4" x14ac:dyDescent="0.25">
      <c r="B79" s="1" t="s">
        <v>239</v>
      </c>
    </row>
    <row r="80" spans="2:4" x14ac:dyDescent="0.25">
      <c r="B80" s="1" t="s">
        <v>240</v>
      </c>
    </row>
    <row r="81" spans="2:4" x14ac:dyDescent="0.25">
      <c r="B81" s="1" t="s">
        <v>241</v>
      </c>
    </row>
    <row r="82" spans="2:4" x14ac:dyDescent="0.25">
      <c r="B82" s="1" t="s">
        <v>242</v>
      </c>
    </row>
    <row r="83" spans="2:4" x14ac:dyDescent="0.25">
      <c r="B83" s="1" t="s">
        <v>243</v>
      </c>
    </row>
    <row r="85" spans="2:4" x14ac:dyDescent="0.25">
      <c r="B85" s="31" t="s">
        <v>244</v>
      </c>
    </row>
    <row r="86" spans="2:4" x14ac:dyDescent="0.25">
      <c r="B86" s="6" t="s">
        <v>165</v>
      </c>
      <c r="C86" s="6" t="s">
        <v>245</v>
      </c>
      <c r="D86" s="6" t="s">
        <v>250</v>
      </c>
    </row>
    <row r="87" spans="2:4" x14ac:dyDescent="0.25">
      <c r="B87" s="6" t="s">
        <v>182</v>
      </c>
      <c r="C87" s="6" t="s">
        <v>181</v>
      </c>
      <c r="D87" s="6">
        <v>45</v>
      </c>
    </row>
    <row r="88" spans="2:4" x14ac:dyDescent="0.25">
      <c r="B88" s="6" t="s">
        <v>157</v>
      </c>
      <c r="C88" s="6" t="s">
        <v>181</v>
      </c>
      <c r="D88" s="6" t="s">
        <v>159</v>
      </c>
    </row>
    <row r="89" spans="2:4" x14ac:dyDescent="0.25">
      <c r="B89" s="6" t="s">
        <v>252</v>
      </c>
      <c r="C89" s="6" t="s">
        <v>253</v>
      </c>
      <c r="D89" s="6" t="s">
        <v>153</v>
      </c>
    </row>
    <row r="90" spans="2:4" ht="45" x14ac:dyDescent="0.25">
      <c r="B90" s="6" t="s">
        <v>246</v>
      </c>
      <c r="C90" s="7" t="s">
        <v>247</v>
      </c>
      <c r="D90" s="6">
        <v>45</v>
      </c>
    </row>
    <row r="91" spans="2:4" x14ac:dyDescent="0.25">
      <c r="B91" s="6" t="s">
        <v>547</v>
      </c>
      <c r="C91" s="6" t="s">
        <v>181</v>
      </c>
      <c r="D91" s="6">
        <v>10000</v>
      </c>
    </row>
    <row r="92" spans="2:4" ht="30" x14ac:dyDescent="0.25">
      <c r="B92" s="6" t="s">
        <v>248</v>
      </c>
      <c r="C92" s="7" t="s">
        <v>249</v>
      </c>
      <c r="D92" s="47">
        <f>D91/21.67</f>
        <v>461.46746654360862</v>
      </c>
    </row>
    <row r="93" spans="2:4" ht="30" x14ac:dyDescent="0.25">
      <c r="B93" s="6" t="s">
        <v>251</v>
      </c>
      <c r="C93" s="7" t="s">
        <v>254</v>
      </c>
      <c r="D93" s="48">
        <f>D92*D90</f>
        <v>20766.035994462389</v>
      </c>
    </row>
    <row r="95" spans="2:4" x14ac:dyDescent="0.25">
      <c r="B95" s="26" t="s">
        <v>554</v>
      </c>
    </row>
    <row r="96" spans="2:4" x14ac:dyDescent="0.25">
      <c r="B96" s="31" t="s">
        <v>269</v>
      </c>
    </row>
    <row r="97" spans="2:4" x14ac:dyDescent="0.25">
      <c r="B97" s="31" t="s">
        <v>555</v>
      </c>
    </row>
    <row r="98" spans="2:4" x14ac:dyDescent="0.25">
      <c r="B98" s="1" t="s">
        <v>259</v>
      </c>
    </row>
    <row r="99" spans="2:4" x14ac:dyDescent="0.25">
      <c r="B99" s="1" t="s">
        <v>257</v>
      </c>
    </row>
    <row r="100" spans="2:4" x14ac:dyDescent="0.25">
      <c r="B100" s="49">
        <v>1</v>
      </c>
      <c r="C100" s="49" t="s">
        <v>272</v>
      </c>
    </row>
    <row r="101" spans="2:4" x14ac:dyDescent="0.25">
      <c r="B101" s="49">
        <v>2</v>
      </c>
      <c r="C101" s="49" t="s">
        <v>273</v>
      </c>
    </row>
    <row r="102" spans="2:4" x14ac:dyDescent="0.25">
      <c r="B102" s="49">
        <v>3</v>
      </c>
      <c r="C102" s="49" t="s">
        <v>258</v>
      </c>
    </row>
    <row r="104" spans="2:4" x14ac:dyDescent="0.25">
      <c r="B104" s="49" t="s">
        <v>260</v>
      </c>
      <c r="C104" s="49"/>
      <c r="D104" s="49"/>
    </row>
    <row r="105" spans="2:4" x14ac:dyDescent="0.25">
      <c r="B105" s="49" t="s">
        <v>261</v>
      </c>
      <c r="C105" s="49"/>
      <c r="D105" s="49"/>
    </row>
    <row r="106" spans="2:4" x14ac:dyDescent="0.25">
      <c r="B106" s="49" t="s">
        <v>262</v>
      </c>
      <c r="C106" s="49"/>
      <c r="D106" s="49"/>
    </row>
    <row r="107" spans="2:4" x14ac:dyDescent="0.25">
      <c r="B107" s="49" t="s">
        <v>263</v>
      </c>
      <c r="C107" s="49"/>
      <c r="D107" s="49"/>
    </row>
    <row r="108" spans="2:4" x14ac:dyDescent="0.25">
      <c r="B108" s="49" t="s">
        <v>264</v>
      </c>
      <c r="C108" s="49"/>
      <c r="D108" s="49"/>
    </row>
    <row r="109" spans="2:4" x14ac:dyDescent="0.25">
      <c r="B109" s="50" t="s">
        <v>265</v>
      </c>
      <c r="C109" s="51"/>
      <c r="D109" s="51"/>
    </row>
    <row r="110" spans="2:4" x14ac:dyDescent="0.25">
      <c r="B110" s="51" t="s">
        <v>266</v>
      </c>
      <c r="C110" s="52" t="s">
        <v>267</v>
      </c>
      <c r="D110" s="52" t="s">
        <v>3</v>
      </c>
    </row>
    <row r="111" spans="2:4" x14ac:dyDescent="0.25">
      <c r="B111" s="51">
        <v>1</v>
      </c>
      <c r="C111" s="51">
        <v>0</v>
      </c>
      <c r="D111" s="51">
        <v>0</v>
      </c>
    </row>
    <row r="112" spans="2:4" x14ac:dyDescent="0.25">
      <c r="B112" s="51">
        <v>50</v>
      </c>
      <c r="C112" s="53">
        <v>0.3</v>
      </c>
      <c r="D112" s="53">
        <v>0.3</v>
      </c>
    </row>
    <row r="113" spans="2:5" x14ac:dyDescent="0.25">
      <c r="B113" s="51">
        <v>51</v>
      </c>
      <c r="C113" s="53">
        <v>0.4</v>
      </c>
      <c r="D113" s="53">
        <v>0.4</v>
      </c>
    </row>
    <row r="114" spans="2:5" x14ac:dyDescent="0.25">
      <c r="B114" s="51">
        <v>52</v>
      </c>
      <c r="C114" s="53">
        <v>0.5</v>
      </c>
      <c r="D114" s="53">
        <v>0.5</v>
      </c>
    </row>
    <row r="115" spans="2:5" x14ac:dyDescent="0.25">
      <c r="B115" s="51">
        <v>53</v>
      </c>
      <c r="C115" s="53">
        <v>0.6</v>
      </c>
      <c r="D115" s="53">
        <v>0.6</v>
      </c>
    </row>
    <row r="116" spans="2:5" x14ac:dyDescent="0.25">
      <c r="B116" s="51">
        <v>54</v>
      </c>
      <c r="C116" s="53">
        <v>0.7</v>
      </c>
      <c r="D116" s="53">
        <v>0.7</v>
      </c>
    </row>
    <row r="117" spans="2:5" x14ac:dyDescent="0.25">
      <c r="B117" s="51">
        <v>55</v>
      </c>
      <c r="C117" s="54">
        <f>IF(YEAR('[1]חישוב זכויות פנסיה תקציבית'!D154)&lt;1966,100%,80%)</f>
        <v>1</v>
      </c>
      <c r="D117" s="54">
        <v>0.8</v>
      </c>
    </row>
    <row r="118" spans="2:5" x14ac:dyDescent="0.25">
      <c r="B118" s="51">
        <v>56</v>
      </c>
      <c r="C118" s="54">
        <f>IF(YEAR('[1]חישוב זכויות פנסיה תקציבית'!D154)&lt;1966,100%,90%)</f>
        <v>1</v>
      </c>
      <c r="D118" s="54">
        <v>0.9</v>
      </c>
    </row>
    <row r="119" spans="2:5" x14ac:dyDescent="0.25">
      <c r="B119" s="51">
        <v>57</v>
      </c>
      <c r="C119" s="53">
        <v>1</v>
      </c>
      <c r="D119" s="53">
        <v>1</v>
      </c>
    </row>
    <row r="121" spans="2:5" x14ac:dyDescent="0.25">
      <c r="B121" s="31" t="s">
        <v>270</v>
      </c>
    </row>
    <row r="122" spans="2:5" x14ac:dyDescent="0.25">
      <c r="B122" s="6" t="s">
        <v>165</v>
      </c>
      <c r="C122" s="6" t="s">
        <v>245</v>
      </c>
      <c r="D122" s="6" t="s">
        <v>250</v>
      </c>
    </row>
    <row r="123" spans="2:5" ht="90" x14ac:dyDescent="0.25">
      <c r="B123" s="6" t="s">
        <v>271</v>
      </c>
      <c r="C123" s="7" t="s">
        <v>274</v>
      </c>
      <c r="D123" s="6" t="s">
        <v>275</v>
      </c>
    </row>
    <row r="124" spans="2:5" ht="75" x14ac:dyDescent="0.25">
      <c r="B124" s="6" t="s">
        <v>276</v>
      </c>
      <c r="C124" s="7" t="s">
        <v>277</v>
      </c>
      <c r="D124" s="6">
        <f>31*30*80%</f>
        <v>744</v>
      </c>
      <c r="E124" s="1" t="s">
        <v>278</v>
      </c>
    </row>
    <row r="125" spans="2:5" x14ac:dyDescent="0.25">
      <c r="B125" s="6" t="s">
        <v>279</v>
      </c>
      <c r="C125" s="6" t="s">
        <v>280</v>
      </c>
      <c r="D125" s="6">
        <v>400</v>
      </c>
    </row>
    <row r="126" spans="2:5" x14ac:dyDescent="0.25">
      <c r="B126" s="6" t="s">
        <v>281</v>
      </c>
      <c r="C126" s="7" t="s">
        <v>282</v>
      </c>
      <c r="D126" s="6">
        <f>D124-D125</f>
        <v>344</v>
      </c>
    </row>
    <row r="127" spans="2:5" x14ac:dyDescent="0.25">
      <c r="B127" s="6" t="s">
        <v>283</v>
      </c>
      <c r="C127" s="6" t="s">
        <v>284</v>
      </c>
      <c r="D127" s="55">
        <f>D126/D124</f>
        <v>0.46236559139784944</v>
      </c>
    </row>
    <row r="128" spans="2:5" ht="60" x14ac:dyDescent="0.25">
      <c r="B128" s="6" t="s">
        <v>285</v>
      </c>
      <c r="C128" s="7" t="s">
        <v>286</v>
      </c>
      <c r="D128" s="47">
        <v>6</v>
      </c>
    </row>
    <row r="129" spans="2:5" ht="30" x14ac:dyDescent="0.25">
      <c r="B129" s="6" t="s">
        <v>287</v>
      </c>
      <c r="C129" s="7" t="s">
        <v>288</v>
      </c>
      <c r="D129" s="48">
        <f>D125/30*D128</f>
        <v>80</v>
      </c>
    </row>
    <row r="130" spans="2:5" x14ac:dyDescent="0.25">
      <c r="B130" s="6" t="s">
        <v>292</v>
      </c>
      <c r="C130" s="6" t="s">
        <v>556</v>
      </c>
      <c r="D130" s="6">
        <v>11500</v>
      </c>
      <c r="E130" s="1" t="s">
        <v>289</v>
      </c>
    </row>
    <row r="131" spans="2:5" x14ac:dyDescent="0.25">
      <c r="B131" s="6" t="s">
        <v>248</v>
      </c>
      <c r="C131" s="6" t="s">
        <v>291</v>
      </c>
      <c r="D131" s="6">
        <f>D130/25</f>
        <v>460</v>
      </c>
    </row>
    <row r="132" spans="2:5" ht="45" x14ac:dyDescent="0.25">
      <c r="B132" s="6" t="s">
        <v>293</v>
      </c>
      <c r="C132" s="7" t="s">
        <v>294</v>
      </c>
      <c r="D132" s="40">
        <v>1</v>
      </c>
    </row>
    <row r="133" spans="2:5" x14ac:dyDescent="0.25">
      <c r="B133" s="6" t="s">
        <v>295</v>
      </c>
      <c r="C133" s="6" t="s">
        <v>296</v>
      </c>
      <c r="D133" s="48">
        <f>D132*D129*D131</f>
        <v>36800</v>
      </c>
    </row>
    <row r="134" spans="2:5" x14ac:dyDescent="0.25">
      <c r="B134" s="62"/>
      <c r="C134" s="62"/>
      <c r="D134" s="83"/>
    </row>
    <row r="136" spans="2:5" x14ac:dyDescent="0.25">
      <c r="B136" s="26" t="s">
        <v>557</v>
      </c>
    </row>
    <row r="137" spans="2:5" x14ac:dyDescent="0.25">
      <c r="B137" s="1" t="s">
        <v>432</v>
      </c>
    </row>
    <row r="138" spans="2:5" x14ac:dyDescent="0.25">
      <c r="B138" s="1" t="s">
        <v>558</v>
      </c>
    </row>
    <row r="140" spans="2:5" x14ac:dyDescent="0.25">
      <c r="B140" s="31" t="s">
        <v>434</v>
      </c>
    </row>
    <row r="141" spans="2:5" x14ac:dyDescent="0.25">
      <c r="B141" s="6" t="s">
        <v>165</v>
      </c>
      <c r="C141" s="6" t="s">
        <v>245</v>
      </c>
      <c r="D141" s="6" t="s">
        <v>250</v>
      </c>
    </row>
    <row r="142" spans="2:5" x14ac:dyDescent="0.25">
      <c r="B142" s="6" t="s">
        <v>435</v>
      </c>
      <c r="C142" s="7" t="s">
        <v>436</v>
      </c>
      <c r="D142" s="6" t="s">
        <v>145</v>
      </c>
    </row>
    <row r="143" spans="2:5" x14ac:dyDescent="0.25">
      <c r="B143" s="6" t="s">
        <v>559</v>
      </c>
      <c r="C143" s="7" t="s">
        <v>560</v>
      </c>
      <c r="D143" s="6">
        <v>8000</v>
      </c>
    </row>
    <row r="144" spans="2:5" x14ac:dyDescent="0.25">
      <c r="B144" s="6" t="s">
        <v>439</v>
      </c>
      <c r="C144" s="7" t="s">
        <v>440</v>
      </c>
      <c r="D144" s="6">
        <f>D143*1</f>
        <v>8000</v>
      </c>
    </row>
    <row r="146" spans="2:14" x14ac:dyDescent="0.25">
      <c r="B146" s="26" t="s">
        <v>561</v>
      </c>
    </row>
    <row r="147" spans="2:14" x14ac:dyDescent="0.25">
      <c r="B147" s="49" t="s">
        <v>442</v>
      </c>
      <c r="C147" s="79"/>
      <c r="D147" s="49"/>
      <c r="E147" s="49"/>
      <c r="F147" s="49"/>
      <c r="G147" s="49"/>
      <c r="H147" s="49"/>
      <c r="I147" s="49"/>
      <c r="J147" s="49"/>
      <c r="K147" s="49"/>
      <c r="L147" s="49"/>
      <c r="M147" s="49"/>
      <c r="N147" s="49"/>
    </row>
    <row r="148" spans="2:14" x14ac:dyDescent="0.25">
      <c r="B148" s="49" t="s">
        <v>443</v>
      </c>
      <c r="C148" s="79"/>
      <c r="D148" s="49"/>
      <c r="E148" s="49"/>
      <c r="F148" s="49"/>
      <c r="G148" s="49"/>
      <c r="H148" s="49"/>
      <c r="I148" s="49"/>
      <c r="J148" s="49"/>
      <c r="K148" s="49"/>
      <c r="L148" s="49"/>
      <c r="M148" s="49"/>
      <c r="N148" s="49"/>
    </row>
    <row r="149" spans="2:14" x14ac:dyDescent="0.25">
      <c r="B149" s="49" t="s">
        <v>444</v>
      </c>
      <c r="C149" s="79"/>
      <c r="D149" s="82" t="s">
        <v>445</v>
      </c>
      <c r="E149" s="49"/>
      <c r="F149" s="49"/>
      <c r="G149" s="49"/>
      <c r="H149" s="49"/>
      <c r="I149" s="49"/>
      <c r="J149" s="49"/>
      <c r="K149" s="49"/>
      <c r="L149" s="49"/>
      <c r="M149" s="49"/>
      <c r="N149" s="49"/>
    </row>
    <row r="150" spans="2:14" x14ac:dyDescent="0.25">
      <c r="B150" s="49" t="s">
        <v>446</v>
      </c>
      <c r="C150" s="49">
        <v>1603</v>
      </c>
      <c r="D150" s="49" t="s">
        <v>454</v>
      </c>
      <c r="E150" s="49"/>
      <c r="F150" s="49"/>
      <c r="G150" s="49"/>
      <c r="H150" s="49"/>
      <c r="I150" s="49"/>
      <c r="J150" s="49"/>
      <c r="K150" s="49"/>
      <c r="L150" s="49"/>
      <c r="M150" s="49"/>
      <c r="N150" s="49"/>
    </row>
    <row r="151" spans="2:14" x14ac:dyDescent="0.25">
      <c r="B151" s="49" t="s">
        <v>43</v>
      </c>
      <c r="C151" s="49">
        <v>2237</v>
      </c>
      <c r="D151" s="49" t="s">
        <v>454</v>
      </c>
      <c r="E151" s="49"/>
      <c r="F151" s="49"/>
      <c r="G151" s="49"/>
      <c r="H151" s="49"/>
      <c r="I151" s="49"/>
      <c r="J151" s="49"/>
      <c r="K151" s="49"/>
      <c r="L151" s="49"/>
      <c r="M151" s="49"/>
      <c r="N151" s="49"/>
    </row>
    <row r="152" spans="2:14" x14ac:dyDescent="0.25">
      <c r="B152" s="49" t="s">
        <v>447</v>
      </c>
      <c r="C152" s="79"/>
      <c r="D152" s="49"/>
      <c r="E152" s="49"/>
      <c r="F152" s="49"/>
      <c r="G152" s="49"/>
      <c r="H152" s="49"/>
      <c r="I152" s="49"/>
      <c r="J152" s="49"/>
      <c r="K152" s="49"/>
      <c r="L152" s="49"/>
      <c r="M152" s="49"/>
      <c r="N152" s="49"/>
    </row>
    <row r="153" spans="2:14" x14ac:dyDescent="0.25">
      <c r="B153" s="49" t="s">
        <v>448</v>
      </c>
      <c r="C153" s="79"/>
      <c r="D153" s="49"/>
      <c r="E153" s="49"/>
      <c r="F153" s="49"/>
      <c r="G153" s="49"/>
      <c r="H153" s="49"/>
      <c r="I153" s="49"/>
      <c r="J153" s="49"/>
      <c r="K153" s="49"/>
      <c r="L153" s="49"/>
      <c r="M153" s="49"/>
      <c r="N153" s="49"/>
    </row>
    <row r="154" spans="2:14" x14ac:dyDescent="0.25">
      <c r="B154" s="49" t="s">
        <v>562</v>
      </c>
      <c r="C154" s="79"/>
      <c r="D154" s="49"/>
      <c r="E154" s="49"/>
      <c r="F154" s="49"/>
      <c r="G154" s="49"/>
      <c r="H154" s="49"/>
      <c r="I154" s="49"/>
      <c r="J154" s="49"/>
      <c r="K154" s="49"/>
      <c r="L154" s="49"/>
      <c r="M154" s="49"/>
      <c r="N154" s="49"/>
    </row>
    <row r="155" spans="2:14" x14ac:dyDescent="0.25">
      <c r="B155" s="49" t="s">
        <v>563</v>
      </c>
      <c r="C155" s="79"/>
      <c r="D155" s="49"/>
      <c r="E155" s="49"/>
      <c r="F155" s="49"/>
      <c r="G155" s="49"/>
      <c r="H155" s="49"/>
      <c r="I155" s="49"/>
      <c r="J155" s="49"/>
      <c r="K155" s="49"/>
      <c r="L155" s="49"/>
      <c r="M155" s="49"/>
      <c r="N155" s="49"/>
    </row>
    <row r="156" spans="2:14" x14ac:dyDescent="0.25">
      <c r="B156" s="49" t="s">
        <v>450</v>
      </c>
      <c r="C156" s="49">
        <v>2237</v>
      </c>
      <c r="D156" s="80" t="s">
        <v>564</v>
      </c>
      <c r="E156" s="49"/>
      <c r="F156" s="49"/>
      <c r="G156" s="49"/>
      <c r="H156" s="49"/>
      <c r="I156" s="49"/>
      <c r="J156" s="49"/>
      <c r="K156" s="49"/>
      <c r="L156" s="49"/>
      <c r="M156" s="49"/>
      <c r="N156" s="49"/>
    </row>
    <row r="157" spans="2:14" x14ac:dyDescent="0.25">
      <c r="B157" s="49" t="s">
        <v>565</v>
      </c>
      <c r="C157" s="49">
        <f>2237*2/12</f>
        <v>372.83333333333331</v>
      </c>
      <c r="D157" s="49" t="s">
        <v>566</v>
      </c>
      <c r="E157" s="49"/>
      <c r="F157" s="49"/>
      <c r="G157" s="49"/>
      <c r="H157" s="49"/>
      <c r="I157" s="49"/>
      <c r="J157" s="49"/>
      <c r="K157" s="49"/>
      <c r="L157" s="49"/>
      <c r="M157" s="49"/>
      <c r="N157" s="49"/>
    </row>
    <row r="158" spans="2:14" x14ac:dyDescent="0.25">
      <c r="B158" s="49"/>
      <c r="C158" s="79"/>
      <c r="D158" s="49"/>
      <c r="E158" s="49"/>
      <c r="F158" s="49"/>
      <c r="G158" s="49"/>
      <c r="H158" s="49"/>
      <c r="I158" s="49"/>
      <c r="J158" s="49"/>
      <c r="K158" s="49"/>
      <c r="L158" s="49"/>
      <c r="M158" s="49"/>
      <c r="N158" s="49"/>
    </row>
    <row r="159" spans="2:14" x14ac:dyDescent="0.25">
      <c r="B159" s="49" t="s">
        <v>452</v>
      </c>
      <c r="C159" s="79"/>
      <c r="D159" s="49"/>
      <c r="E159" s="49"/>
      <c r="F159" s="49"/>
      <c r="G159" s="81" t="s">
        <v>453</v>
      </c>
      <c r="H159" s="49"/>
      <c r="I159" s="49"/>
      <c r="J159" s="49"/>
      <c r="K159" s="49"/>
      <c r="L159" s="49"/>
      <c r="M159" s="49"/>
      <c r="N159" s="49"/>
    </row>
    <row r="160" spans="2:14" x14ac:dyDescent="0.25">
      <c r="B160" s="49"/>
      <c r="C160" s="79"/>
      <c r="D160" s="49"/>
      <c r="E160" s="49"/>
      <c r="F160" s="49"/>
      <c r="G160" s="49"/>
      <c r="H160" s="49"/>
      <c r="I160" s="49"/>
      <c r="J160" s="49"/>
      <c r="K160" s="49"/>
      <c r="L160" s="49"/>
      <c r="M160" s="49"/>
      <c r="N160" s="49"/>
    </row>
    <row r="161" spans="2:6" x14ac:dyDescent="0.25">
      <c r="B161" s="31" t="s">
        <v>489</v>
      </c>
    </row>
    <row r="162" spans="2:6" x14ac:dyDescent="0.25">
      <c r="B162" s="6" t="s">
        <v>165</v>
      </c>
      <c r="C162" s="6" t="s">
        <v>245</v>
      </c>
      <c r="D162" s="6" t="s">
        <v>250</v>
      </c>
    </row>
    <row r="163" spans="2:6" x14ac:dyDescent="0.25">
      <c r="B163" s="6" t="s">
        <v>37</v>
      </c>
      <c r="C163" s="7" t="s">
        <v>167</v>
      </c>
      <c r="D163" s="6" t="s">
        <v>56</v>
      </c>
    </row>
    <row r="164" spans="2:6" x14ac:dyDescent="0.25">
      <c r="B164" s="6" t="s">
        <v>490</v>
      </c>
      <c r="C164" s="7" t="s">
        <v>492</v>
      </c>
      <c r="D164" s="40">
        <v>0.8</v>
      </c>
      <c r="F164" s="101" t="s">
        <v>568</v>
      </c>
    </row>
    <row r="165" spans="2:6" x14ac:dyDescent="0.25">
      <c r="B165" s="6" t="s">
        <v>491</v>
      </c>
      <c r="C165" s="7" t="s">
        <v>492</v>
      </c>
      <c r="D165" s="40">
        <v>1</v>
      </c>
    </row>
    <row r="166" spans="2:6" ht="105" x14ac:dyDescent="0.25">
      <c r="B166" s="6" t="s">
        <v>493</v>
      </c>
      <c r="C166" s="7" t="s">
        <v>494</v>
      </c>
      <c r="D166" s="6">
        <v>0</v>
      </c>
      <c r="E166" s="1" t="s">
        <v>496</v>
      </c>
    </row>
    <row r="167" spans="2:6" ht="45" x14ac:dyDescent="0.25">
      <c r="B167" s="6" t="s">
        <v>495</v>
      </c>
      <c r="C167" s="7" t="s">
        <v>569</v>
      </c>
      <c r="D167" s="6">
        <f>2237*D164</f>
        <v>1789.6000000000001</v>
      </c>
      <c r="E167" s="1" t="s">
        <v>496</v>
      </c>
    </row>
    <row r="170" spans="2:6" x14ac:dyDescent="0.25">
      <c r="B170" s="26" t="s">
        <v>497</v>
      </c>
    </row>
    <row r="171" spans="2:6" x14ac:dyDescent="0.25">
      <c r="B171" s="49" t="s">
        <v>570</v>
      </c>
    </row>
    <row r="172" spans="2:6" x14ac:dyDescent="0.25">
      <c r="B172" s="49" t="s">
        <v>498</v>
      </c>
    </row>
    <row r="173" spans="2:6" x14ac:dyDescent="0.25">
      <c r="B173" s="49" t="s">
        <v>504</v>
      </c>
    </row>
    <row r="176" spans="2:6" x14ac:dyDescent="0.25">
      <c r="B176" s="31" t="s">
        <v>499</v>
      </c>
    </row>
    <row r="177" spans="2:4" x14ac:dyDescent="0.25">
      <c r="B177" s="6" t="s">
        <v>165</v>
      </c>
      <c r="C177" s="6" t="s">
        <v>245</v>
      </c>
      <c r="D177" s="6" t="s">
        <v>250</v>
      </c>
    </row>
    <row r="178" spans="2:4" x14ac:dyDescent="0.25">
      <c r="B178" s="6" t="s">
        <v>55</v>
      </c>
      <c r="C178" s="7" t="s">
        <v>167</v>
      </c>
      <c r="D178" s="6" t="s">
        <v>56</v>
      </c>
    </row>
    <row r="179" spans="2:4" x14ac:dyDescent="0.25">
      <c r="B179" s="6" t="s">
        <v>491</v>
      </c>
      <c r="C179" s="7" t="s">
        <v>492</v>
      </c>
      <c r="D179" s="40">
        <v>1</v>
      </c>
    </row>
    <row r="180" spans="2:4" ht="120" x14ac:dyDescent="0.25">
      <c r="B180" s="7" t="s">
        <v>571</v>
      </c>
      <c r="C180" s="7" t="s">
        <v>505</v>
      </c>
      <c r="D180" s="6">
        <v>0</v>
      </c>
    </row>
    <row r="181" spans="2:4" x14ac:dyDescent="0.25">
      <c r="B181" s="102" t="s">
        <v>506</v>
      </c>
      <c r="C181" s="7"/>
      <c r="D181" s="6"/>
    </row>
    <row r="183" spans="2:4" x14ac:dyDescent="0.25">
      <c r="B183" s="56"/>
    </row>
    <row r="196" spans="1:4" x14ac:dyDescent="0.25">
      <c r="A196" s="15"/>
      <c r="B196" s="85" t="s">
        <v>517</v>
      </c>
      <c r="D196" s="1" t="s">
        <v>14</v>
      </c>
    </row>
    <row r="197" spans="1:4" x14ac:dyDescent="0.25">
      <c r="A197" s="15"/>
      <c r="B197" s="86" t="s">
        <v>518</v>
      </c>
    </row>
    <row r="198" spans="1:4" x14ac:dyDescent="0.25">
      <c r="A198" s="15"/>
      <c r="B198" s="86"/>
    </row>
    <row r="199" spans="1:4" x14ac:dyDescent="0.25">
      <c r="B199" s="6" t="s">
        <v>107</v>
      </c>
      <c r="C199" s="6" t="s">
        <v>195</v>
      </c>
      <c r="D199" s="1">
        <v>10000</v>
      </c>
    </row>
    <row r="200" spans="1:4" x14ac:dyDescent="0.25">
      <c r="B200" s="6" t="s">
        <v>519</v>
      </c>
      <c r="C200" s="6" t="s">
        <v>520</v>
      </c>
      <c r="D200" s="1">
        <f>D199*3</f>
        <v>30000</v>
      </c>
    </row>
    <row r="202" spans="1:4" x14ac:dyDescent="0.25">
      <c r="B202" s="1" t="s">
        <v>588</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7</vt:i4>
      </vt:variant>
    </vt:vector>
  </HeadingPairs>
  <TitlesOfParts>
    <vt:vector size="7" baseType="lpstr">
      <vt:lpstr>מסך 1</vt:lpstr>
      <vt:lpstr>מסך 2 - נתונים כלליים</vt:lpstr>
      <vt:lpstr>מסך 3 - תקופות עבודה</vt:lpstr>
      <vt:lpstr>מסך 4 - סכומים ויתרות</vt:lpstr>
      <vt:lpstr>סימולציית פרישה - תקציבית</vt:lpstr>
      <vt:lpstr>מקדמי גיל</vt:lpstr>
      <vt:lpstr>סימולציית פרישה - צוברת</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Michal</dc:creator>
  <cp:lastModifiedBy>יהודית שרגא</cp:lastModifiedBy>
  <dcterms:created xsi:type="dcterms:W3CDTF">2023-03-11T21:09:29Z</dcterms:created>
  <dcterms:modified xsi:type="dcterms:W3CDTF">2023-05-08T14:49:16Z</dcterms:modified>
</cp:coreProperties>
</file>