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C:\Users\שרגא יהודית\source\repos\RetirementSimulator\server\"/>
    </mc:Choice>
  </mc:AlternateContent>
  <xr:revisionPtr revIDLastSave="0" documentId="13_ncr:1_{017E9994-C0C9-4298-901F-D137AB0CA885}" xr6:coauthVersionLast="36" xr6:coauthVersionMax="36" xr10:uidLastSave="{00000000-0000-0000-0000-000000000000}"/>
  <bookViews>
    <workbookView xWindow="0" yWindow="0" windowWidth="28800" windowHeight="12255" firstSheet="3" activeTab="3"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6" i="5" s="1"/>
  <c r="E221" i="5"/>
  <c r="E222" i="5" s="1"/>
  <c r="E223" i="5"/>
  <c r="E219" i="5"/>
  <c r="E213" i="5"/>
  <c r="E215" i="5" s="1"/>
  <c r="E216" i="5" s="1"/>
  <c r="E355" i="5"/>
  <c r="D302" i="5"/>
  <c r="D296" i="5"/>
  <c r="D314" i="5" s="1"/>
  <c r="E257" i="5"/>
  <c r="E128" i="5"/>
  <c r="E122" i="5"/>
  <c r="E123" i="5" s="1"/>
  <c r="E124" i="5" s="1"/>
  <c r="E115" i="5"/>
  <c r="E108" i="5"/>
  <c r="E109" i="5" s="1"/>
  <c r="E110" i="5" s="1"/>
  <c r="E114" i="5" s="1"/>
  <c r="E95" i="5"/>
  <c r="E96" i="5" s="1"/>
  <c r="E98" i="5" s="1"/>
  <c r="E99" i="5" s="1"/>
  <c r="E244" i="5"/>
  <c r="E245" i="5" s="1"/>
  <c r="E241" i="5"/>
  <c r="E227" i="5" l="1"/>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G43" i="5" s="1"/>
  <c r="E32" i="5"/>
  <c r="G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G40" i="5" s="1"/>
  <c r="G30" i="5"/>
  <c r="G37" i="5" s="1"/>
  <c r="G41" i="5"/>
  <c r="F49" i="3"/>
  <c r="D49" i="3"/>
  <c r="F52" i="3" s="1"/>
  <c r="F33" i="3"/>
  <c r="D29" i="3"/>
  <c r="F32" i="3" s="1"/>
  <c r="F53" i="3" l="1"/>
  <c r="G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C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C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C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C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<sst xmlns="http://schemas.openxmlformats.org/spreadsheetml/2006/main" count="1201" uniqueCount="651">
  <si>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</si>
  <si>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</si>
  <si>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</si>
  <si>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</si>
  <si>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</si>
  <si>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</si>
  <si>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</si>
  <si>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</si>
  <si>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</si>
  <si>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</si>
  <si>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</si>
  <si>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</si>
  <si>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</si>
  <si>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</si>
  <si>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</si>
  <si>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</si>
  <si>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</si>
  <si>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</si>
  <si>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</si>
  <si>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</si>
  <si>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</si>
  <si>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</si>
  <si>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</si>
  <si>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</si>
  <si>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</si>
  <si>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</si>
  <si>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</si>
  <si>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</si>
  <si>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</si>
  <si>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</si>
  <si>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</si>
  <si>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</si>
  <si>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</si>
  <si>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</si>
  <si>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</si>
  <si>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</si>
  <si>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</si>
  <si>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</si>
  <si>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</si>
  <si>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</si>
  <si>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</si>
  <si>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</si>
  <si>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</si>
  <si>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</si>
  <si>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</si>
  <si>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</si>
  <si>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</si>
  <si>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</si>
  <si>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</si>
  <si>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</si>
  <si>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</si>
  <si>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</si>
  <si>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</si>
  <si>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</si>
  <si>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</si>
  <si>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</si>
  <si>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</si>
  <si>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</si>
  <si>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</si>
  <si>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</si>
  <si>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</si>
  <si>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</si>
  <si>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</si>
  <si>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</si>
  <si>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</si>
  <si>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</si>
  <si>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</si>
  <si>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</si>
  <si>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</si>
  <si>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</si>
  <si>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</si>
  <si>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</si>
  <si>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</si>
  <si>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</si>
  <si>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</si>
  <si>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</si>
  <si>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</si>
  <si>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</si>
  <si>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</si>
  <si>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</si>
  <si>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</si>
  <si>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</si>
  <si>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</si>
  <si>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</si>
  <si>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</si>
  <si>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</si>
  <si>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</si>
  <si>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</si>
  <si>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</si>
  <si>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</si>
  <si>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</si>
  <si>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</si>
  <si>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</si>
  <si>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</si>
  <si>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</si>
  <si>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</si>
  <si>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</si>
  <si>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</si>
  <si>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</si>
  <si>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</si>
  <si>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</si>
  <si>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</si>
  <si>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</si>
  <si>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</si>
  <si>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</si>
  <si>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</si>
  <si>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</si>
  <si>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</si>
  <si>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</si>
  <si>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</si>
  <si>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</si>
  <si>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</si>
  <si>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</si>
  <si>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</si>
  <si>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</si>
  <si>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</si>
  <si>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</si>
  <si>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</si>
  <si>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</si>
  <si>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</si>
  <si>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</si>
  <si>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</si>
  <si>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</si>
  <si>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</si>
  <si>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</si>
  <si>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</si>
  <si>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</si>
  <si>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</si>
  <si>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</si>
  <si>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</si>
  <si>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</si>
  <si>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</si>
  <si>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</si>
  <si>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</si>
  <si>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</si>
  <si>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</si>
  <si>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</si>
  <si>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</si>
  <si>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</si>
  <si>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</si>
  <si>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</si>
  <si>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</si>
  <si>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</si>
  <si>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</si>
  <si>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</si>
  <si>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</si>
  <si>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</si>
  <si>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</si>
  <si>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</si>
  <si>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</si>
  <si>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</si>
  <si>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</si>
  <si>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</si>
  <si>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</si>
  <si>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</si>
  <si>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</si>
  <si>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</si>
  <si>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</si>
  <si>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</si>
  <si>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</si>
  <si>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</si>
  <si>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</si>
  <si>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</si>
  <si>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</si>
  <si>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</si>
  <si>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</si>
  <si>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</si>
  <si>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</si>
  <si>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</si>
  <si>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</si>
  <si>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</si>
  <si>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</si>
  <si>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</si>
  <si>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</si>
  <si>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</si>
  <si>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</si>
  <si>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</si>
  <si>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</si>
  <si>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</si>
  <si>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</si>
  <si>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</si>
  <si>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</si>
  <si>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</si>
  <si>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</si>
  <si>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</si>
  <si>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</si>
  <si>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</si>
  <si>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</si>
  <si>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</si>
  <si>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</si>
  <si>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</si>
  <si>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</si>
  <si>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</si>
  <si>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</si>
  <si>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</si>
  <si>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</si>
  <si>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</si>
  <si>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</si>
  <si>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</si>
  <si>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</si>
  <si>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</si>
  <si>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</si>
  <si>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</si>
  <si>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</si>
  <si>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</si>
  <si>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</si>
  <si>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</si>
  <si>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</si>
  <si>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</si>
  <si>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</si>
  <si>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</si>
  <si>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</si>
  <si>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</si>
  <si>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</si>
  <si>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</si>
  <si>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</si>
  <si>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</si>
  <si>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</si>
  <si>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</si>
  <si>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</si>
  <si>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</si>
  <si>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</si>
  <si>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</si>
  <si>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</si>
  <si>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</si>
  <si>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</si>
  <si>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</si>
  <si>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</si>
  <si>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</si>
  <si>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</si>
  <si>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</si>
  <si>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</si>
  <si>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</si>
  <si>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</si>
  <si>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</si>
  <si>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</si>
  <si>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</si>
  <si>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</si>
  <si>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</si>
  <si>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</si>
  <si>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</si>
  <si>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</si>
  <si>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</si>
  <si>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</si>
  <si>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</si>
  <si>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</si>
  <si>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</si>
  <si>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</si>
  <si>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</si>
  <si>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</si>
  <si>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</si>
  <si>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</si>
  <si>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</si>
  <si>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</si>
  <si>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</si>
  <si>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</si>
  <si>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</si>
  <si>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</si>
  <si>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</si>
  <si>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</si>
  <si>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</si>
  <si>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</si>
  <si>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</si>
  <si>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</si>
  <si>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</si>
  <si>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</si>
  <si>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</si>
  <si>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</si>
  <si>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</si>
  <si>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</si>
  <si>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</si>
  <si>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</si>
  <si>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</si>
  <si>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</si>
  <si>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</si>
  <si>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</si>
  <si>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</si>
  <si>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</si>
  <si>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</si>
  <si>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</si>
  <si>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</si>
  <si>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</si>
  <si>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</si>
  <si>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</si>
  <si>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</si>
  <si>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</si>
  <si>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</si>
  <si>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</si>
  <si>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</si>
  <si>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</si>
  <si>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</si>
  <si>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</si>
  <si>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</si>
  <si>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</si>
  <si>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</si>
  <si>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</si>
  <si>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</si>
  <si>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</si>
  <si>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</si>
  <si>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</si>
  <si>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</si>
  <si>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</si>
  <si>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</si>
  <si>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</si>
  <si>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</si>
  <si>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</si>
  <si>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</si>
  <si>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</si>
  <si>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</si>
  <si>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</si>
  <si>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</si>
  <si>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</si>
  <si>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</si>
  <si>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</si>
  <si>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</si>
  <si>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</si>
  <si>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</si>
  <si>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</si>
  <si>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</si>
  <si>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</si>
  <si>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</si>
  <si>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</si>
  <si>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</si>
  <si>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</si>
  <si>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</si>
  <si>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</si>
  <si>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</si>
  <si>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</si>
  <si>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</si>
  <si>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</si>
  <si>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</si>
  <si>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</si>
  <si>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</si>
  <si>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</si>
  <si>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</si>
  <si>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</si>
  <si>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</si>
  <si>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</si>
  <si>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</si>
  <si>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</si>
  <si>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</si>
  <si>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</si>
  <si>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</si>
  <si>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</si>
  <si>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</si>
  <si>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</si>
  <si>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</si>
  <si>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</si>
  <si>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</si>
  <si>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</si>
  <si>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</si>
  <si>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</si>
  <si>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</si>
  <si>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</si>
  <si>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</si>
  <si>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</si>
  <si>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</si>
  <si>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</si>
  <si>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</si>
  <si>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</si>
  <si>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</si>
  <si>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</si>
  <si>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</si>
  <si>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</si>
  <si>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</si>
  <si>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</si>
  <si>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</si>
  <si>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</si>
  <si>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</si>
  <si>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</si>
  <si>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</si>
  <si>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</si>
  <si>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</si>
  <si>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</si>
  <si>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</si>
  <si>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</si>
  <si>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</si>
  <si>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</si>
  <si>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</si>
  <si>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</si>
  <si>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</si>
  <si>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</si>
  <si>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</si>
  <si>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</si>
  <si>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</si>
  <si>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</si>
  <si>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</si>
  <si>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</si>
  <si>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</si>
  <si>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</si>
  <si>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</si>
  <si>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</si>
  <si>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</si>
  <si>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</si>
  <si>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</si>
  <si>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</si>
  <si>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</si>
  <si>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</si>
  <si>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</si>
  <si>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</si>
  <si>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</si>
  <si>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</si>
  <si>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</si>
  <si>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</si>
  <si>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</si>
  <si>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</si>
  <si>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</si>
  <si>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</si>
  <si>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</si>
  <si>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</si>
  <si>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</si>
  <si>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</si>
  <si>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</si>
  <si>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</si>
  <si>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</si>
  <si>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</si>
  <si>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</si>
  <si>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</si>
  <si>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</si>
  <si>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</si>
  <si>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</si>
  <si>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</si>
  <si>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</si>
  <si>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</si>
  <si>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</si>
  <si>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</si>
  <si>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</si>
  <si>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</si>
  <si>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</si>
  <si>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</si>
  <si>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</si>
  <si>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</si>
  <si>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</si>
  <si>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</si>
  <si>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</si>
  <si>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</si>
  <si>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</si>
  <si>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</si>
  <si>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</si>
  <si>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</si>
  <si>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</si>
  <si>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</si>
  <si>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</si>
  <si>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</si>
  <si>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</si>
  <si>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</si>
  <si>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</si>
  <si>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</si>
  <si>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</si>
  <si>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</si>
  <si>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</si>
  <si>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</si>
  <si>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</si>
  <si>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</si>
  <si>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</si>
  <si>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</si>
  <si>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</si>
  <si>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</si>
  <si>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</si>
  <si>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</si>
  <si>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</si>
  <si>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</si>
  <si>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</si>
  <si>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</si>
  <si>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</si>
  <si>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</si>
  <si>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</si>
  <si>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</si>
  <si>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</si>
  <si>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</si>
  <si>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</si>
  <si>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</si>
  <si>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</si>
  <si>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</si>
  <si>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</si>
  <si>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</si>
  <si>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</si>
  <si>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</si>
  <si>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</si>
  <si>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</si>
  <si>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</si>
  <si>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</si>
  <si>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</si>
  <si>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</si>
  <si>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</si>
  <si>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</si>
  <si>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</si>
  <si>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</si>
  <si>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</si>
  <si>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</si>
  <si>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</si>
  <si>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</si>
  <si>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</si>
  <si>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</si>
  <si>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</si>
  <si>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</si>
  <si>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</si>
  <si>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</si>
  <si>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</si>
  <si>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</si>
  <si>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</si>
  <si>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</si>
  <si>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</si>
  <si>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</si>
  <si>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</si>
  <si>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</si>
  <si>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</si>
  <si>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</si>
  <si>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</si>
  <si>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</si>
  <si>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</si>
  <si>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</si>
  <si>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</si>
  <si>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</si>
  <si>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</si>
  <si>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</si>
  <si>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</si>
  <si>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</si>
  <si>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</si>
  <si>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</si>
  <si>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</si>
  <si>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</si>
  <si>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</si>
  <si>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</si>
  <si>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</si>
  <si>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</si>
  <si>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</si>
  <si>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</si>
  <si>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</si>
  <si>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</si>
  <si>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</si>
  <si>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</si>
  <si>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הוספתי: "שכר בכירים" במלל, 23/03/2023</t>
  </si>
  <si>
    <t>משכורת קובעת לפנסיה תקציבית למשרה מלאה</t>
  </si>
  <si>
    <t>הוספתי שורה זו</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</si>
  <si>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</si>
  <si>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</si>
  <si>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</si>
  <si>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עדכני את החישוב - אם הזינו תוספת פנסיונית שלא מהווה בסיס לפנסיה, יש להפחית את הסכום מהמשכורת הקובעת לפנסיה (23/03/2023)</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</si>
  <si>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</si>
  <si>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</si>
  <si>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</si>
  <si>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</si>
  <si>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</si>
  <si>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</si>
  <si>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</si>
  <si>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</si>
  <si>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</si>
  <si>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</si>
  <si>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</si>
  <si>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</si>
  <si>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</si>
  <si>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</si>
  <si>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</si>
  <si>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</si>
  <si>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</si>
  <si>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</si>
  <si>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</si>
  <si>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</si>
  <si>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</si>
  <si>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</si>
  <si>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</si>
  <si>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</si>
  <si>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</si>
  <si>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</si>
  <si>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</si>
  <si>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</si>
  <si>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</si>
  <si>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</si>
  <si>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</si>
  <si>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</si>
  <si>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</si>
  <si>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</si>
  <si>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</si>
  <si>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</si>
  <si>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</si>
  <si>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</si>
  <si>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</si>
  <si>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</si>
  <si>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</si>
  <si>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</si>
  <si>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</si>
  <si>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</si>
  <si>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</si>
  <si>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</si>
  <si>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</si>
  <si>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</si>
  <si>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</si>
  <si>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</si>
  <si>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</si>
  <si>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</si>
  <si>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</si>
  <si>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</si>
  <si>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</si>
  <si>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</si>
  <si>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</si>
  <si>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</si>
  <si>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</si>
  <si>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</si>
  <si>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</si>
  <si>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</si>
  <si>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</si>
  <si>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</si>
  <si>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</si>
  <si>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</si>
  <si>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</si>
  <si>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</si>
  <si>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</si>
  <si>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</si>
  <si>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</si>
  <si>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</si>
  <si>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</si>
  <si>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</si>
  <si>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</si>
  <si>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</si>
  <si>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</si>
  <si>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</si>
  <si>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</si>
  <si>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</si>
  <si>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</si>
  <si>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</si>
  <si>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</si>
  <si>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</si>
  <si>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</si>
  <si>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</si>
  <si>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</si>
  <si>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</si>
  <si>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</si>
  <si>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</si>
  <si>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</si>
  <si>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</si>
  <si>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</si>
  <si>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</si>
  <si>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</si>
  <si>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</si>
  <si>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</si>
  <si>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</si>
  <si>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</si>
  <si>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</si>
  <si>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</si>
  <si>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</si>
  <si>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</si>
  <si>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</si>
  <si>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</si>
  <si>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</si>
  <si>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</si>
  <si>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</si>
  <si>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</si>
  <si>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engkish</t>
  </si>
  <si>
    <t>EmployeesAgeAtRetirement</t>
  </si>
  <si>
    <t>YearsOfWorkAtTheAuthority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</si>
</sst>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3"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s>
  <fills count="13">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35">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0" fontId="1" fillId="8" borderId="0" xfId="0" applyFont="1" applyFill="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1" fillId="9" borderId="2" xfId="4" applyFont="1" applyAlignment="1">
      <alignment wrapText="1"/>
    </xf>
    <xf numFmtId="0" fontId="20" fillId="10" borderId="1" xfId="5" applyBorder="1"/>
    <xf numFmtId="0" fontId="21" fillId="11" borderId="2" xfId="6" applyBorder="1"/>
    <xf numFmtId="0" fontId="1" fillId="12" borderId="2" xfId="4" applyFont="1" applyFill="1"/>
    <xf numFmtId="0" fontId="22" fillId="0" borderId="0" xfId="0" applyFont="1" applyAlignment="1">
      <alignment vertical="center"/>
    </xf>
    <xf numFmtId="0" fontId="21" fillId="11" borderId="1" xfId="6" applyBorder="1"/>
    <xf numFmtId="0" fontId="21" fillId="11" borderId="0" xfId="6"/>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1" fillId="12" borderId="1" xfId="0" applyFont="1" applyFill="1" applyBorder="1"/>
    <xf numFmtId="0" fontId="1" fillId="12" borderId="1" xfId="0" applyFont="1" applyFill="1" applyBorder="1" applyAlignment="1">
      <alignment horizontal="right" vertical="center" wrapText="1"/>
    </xf>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rightToLeft="1" workbookViewId="0">
      <selection activeCell="G6" sqref="G6"/>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6" x14ac:dyDescent="0.25">
      <c r="B2" s="1" t="s">
        <v>0</v>
      </c>
    </row>
    <row r="4" spans="2:6" x14ac:dyDescent="0.25">
      <c r="B4" s="1" t="s">
        <v>1</v>
      </c>
    </row>
    <row r="6" spans="2:6" x14ac:dyDescent="0.25">
      <c r="B6" s="3" t="s">
        <v>2</v>
      </c>
      <c r="C6" s="3" t="s">
        <v>3</v>
      </c>
      <c r="F6" s="118" t="s">
        <v>606</v>
      </c>
    </row>
    <row r="8" spans="2:6" x14ac:dyDescent="0.25">
      <c r="B8" s="1" t="s">
        <v>112</v>
      </c>
    </row>
    <row r="10" spans="2:6" x14ac:dyDescent="0.25">
      <c r="B10" s="3" t="s">
        <v>113</v>
      </c>
      <c r="C10" s="3" t="s">
        <v>114</v>
      </c>
      <c r="F10" s="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1"/>
  <sheetViews>
    <sheetView rightToLeft="1" workbookViewId="0">
      <pane xSplit="1" ySplit="3" topLeftCell="B16" activePane="bottomRight" state="frozen"/>
      <selection pane="topRight" activeCell="B1" sqref="B1"/>
      <selection pane="bottomLeft" activeCell="A4" sqref="A4"/>
      <selection pane="bottomRight" activeCell="C36" sqref="C36"/>
    </sheetView>
  </sheetViews>
  <sheetFormatPr defaultColWidth="8.75" defaultRowHeight="15" x14ac:dyDescent="0.25"/>
  <cols>
    <col min="1" max="1" width="21.75" style="89" customWidth="1"/>
    <col min="2" max="2" width="18.25" style="1" bestFit="1" customWidth="1"/>
    <col min="3" max="3" width="21.25" style="1" customWidth="1"/>
    <col min="4" max="4" width="12.25" style="4" customWidth="1"/>
    <col min="5" max="5" width="28.5" style="1" customWidth="1"/>
    <col min="6" max="6" width="34.875" style="1" customWidth="1"/>
    <col min="7" max="8" width="23" style="1" customWidth="1"/>
    <col min="9" max="9" width="15" style="1" customWidth="1"/>
    <col min="10" max="10" width="21.75" style="1" customWidth="1"/>
    <col min="12" max="12" width="9.125" style="1" bestFit="1" customWidth="1"/>
    <col min="13" max="16384" width="8.75" style="1"/>
  </cols>
  <sheetData>
    <row r="1" spans="1:10" x14ac:dyDescent="0.25">
      <c r="B1" s="120" t="s">
        <v>618</v>
      </c>
      <c r="C1" s="120"/>
    </row>
    <row r="2" spans="1:10" s="2" customFormat="1" x14ac:dyDescent="0.2">
      <c r="A2" s="88"/>
      <c r="B2" s="121" t="s">
        <v>608</v>
      </c>
      <c r="C2" s="121"/>
      <c r="D2" s="121"/>
      <c r="E2" s="121"/>
      <c r="F2" s="121"/>
      <c r="G2" s="121"/>
      <c r="H2" s="121"/>
      <c r="I2" s="121"/>
    </row>
    <row r="3" spans="1:10" s="2" customFormat="1" ht="30" x14ac:dyDescent="0.2">
      <c r="A3" s="8" t="s">
        <v>522</v>
      </c>
      <c r="B3" s="5" t="s">
        <v>26</v>
      </c>
      <c r="C3" s="5" t="s">
        <v>609</v>
      </c>
      <c r="D3" s="8" t="s">
        <v>22</v>
      </c>
      <c r="E3" s="5" t="s">
        <v>27</v>
      </c>
      <c r="F3" s="5" t="s">
        <v>33</v>
      </c>
      <c r="G3" s="5" t="s">
        <v>9</v>
      </c>
      <c r="H3" s="5" t="s">
        <v>10</v>
      </c>
      <c r="I3" s="5" t="s">
        <v>14</v>
      </c>
      <c r="J3" s="5" t="s">
        <v>34</v>
      </c>
    </row>
    <row r="4" spans="1:10" x14ac:dyDescent="0.25">
      <c r="A4" s="87" t="s">
        <v>523</v>
      </c>
      <c r="B4" s="119" t="s">
        <v>7</v>
      </c>
      <c r="C4" s="6" t="s">
        <v>610</v>
      </c>
      <c r="D4" s="7" t="s">
        <v>23</v>
      </c>
      <c r="E4" s="6" t="s">
        <v>5</v>
      </c>
      <c r="F4" s="6" t="s">
        <v>6</v>
      </c>
      <c r="G4" s="6" t="s">
        <v>11</v>
      </c>
      <c r="H4" s="6" t="s">
        <v>13</v>
      </c>
      <c r="I4" s="6" t="s">
        <v>15</v>
      </c>
      <c r="J4" s="6"/>
    </row>
    <row r="5" spans="1:10" ht="30" x14ac:dyDescent="0.25">
      <c r="A5" s="87" t="s">
        <v>523</v>
      </c>
      <c r="B5" s="119" t="s">
        <v>8</v>
      </c>
      <c r="C5" s="6" t="s">
        <v>611</v>
      </c>
      <c r="D5" s="7" t="s">
        <v>24</v>
      </c>
      <c r="E5" s="6" t="s">
        <v>5</v>
      </c>
      <c r="F5" s="6" t="s">
        <v>25</v>
      </c>
      <c r="G5" s="6" t="s">
        <v>12</v>
      </c>
      <c r="H5" s="6" t="s">
        <v>13</v>
      </c>
      <c r="I5" s="6">
        <v>304912405</v>
      </c>
      <c r="J5" s="6"/>
    </row>
    <row r="6" spans="1:10" x14ac:dyDescent="0.25">
      <c r="A6" s="87" t="s">
        <v>523</v>
      </c>
      <c r="B6" s="119" t="s">
        <v>75</v>
      </c>
      <c r="C6" s="6" t="s">
        <v>612</v>
      </c>
      <c r="D6" s="7" t="s">
        <v>76</v>
      </c>
      <c r="E6" s="27">
        <v>25569</v>
      </c>
      <c r="F6" s="6"/>
      <c r="G6" s="6" t="s">
        <v>11</v>
      </c>
      <c r="H6" s="6" t="s">
        <v>13</v>
      </c>
      <c r="I6" s="28">
        <v>25569</v>
      </c>
      <c r="J6" s="6"/>
    </row>
    <row r="7" spans="1:10" x14ac:dyDescent="0.25">
      <c r="A7" s="87" t="s">
        <v>523</v>
      </c>
      <c r="B7" s="119" t="s">
        <v>80</v>
      </c>
      <c r="C7" s="6" t="s">
        <v>613</v>
      </c>
      <c r="D7" s="7" t="s">
        <v>78</v>
      </c>
      <c r="E7" s="27">
        <v>34790</v>
      </c>
      <c r="F7" s="6"/>
      <c r="G7" s="6" t="s">
        <v>11</v>
      </c>
      <c r="H7" s="6" t="s">
        <v>13</v>
      </c>
      <c r="I7" s="28">
        <v>34790</v>
      </c>
      <c r="J7" s="6"/>
    </row>
    <row r="8" spans="1:10" ht="45" x14ac:dyDescent="0.25">
      <c r="A8" s="87" t="s">
        <v>523</v>
      </c>
      <c r="B8" s="119" t="s">
        <v>77</v>
      </c>
      <c r="C8" s="6" t="s">
        <v>614</v>
      </c>
      <c r="D8" s="7" t="s">
        <v>78</v>
      </c>
      <c r="E8" s="27">
        <v>45291</v>
      </c>
      <c r="F8" s="7" t="s">
        <v>111</v>
      </c>
      <c r="G8" s="6" t="s">
        <v>11</v>
      </c>
      <c r="H8" s="6" t="s">
        <v>79</v>
      </c>
      <c r="I8" s="28">
        <v>45291</v>
      </c>
      <c r="J8" s="6"/>
    </row>
    <row r="9" spans="1:10" ht="90" x14ac:dyDescent="0.25">
      <c r="A9" s="87" t="s">
        <v>523</v>
      </c>
      <c r="B9" s="119" t="s">
        <v>16</v>
      </c>
      <c r="C9" s="6" t="s">
        <v>615</v>
      </c>
      <c r="D9" s="7" t="s">
        <v>28</v>
      </c>
      <c r="E9" s="7" t="s">
        <v>17</v>
      </c>
      <c r="F9" s="6" t="s">
        <v>18</v>
      </c>
      <c r="G9" s="6" t="s">
        <v>11</v>
      </c>
      <c r="H9" s="6" t="s">
        <v>13</v>
      </c>
      <c r="I9" s="6" t="s">
        <v>19</v>
      </c>
      <c r="J9" s="6"/>
    </row>
    <row r="10" spans="1:10" ht="60" x14ac:dyDescent="0.25">
      <c r="A10" s="87" t="s">
        <v>523</v>
      </c>
      <c r="B10" s="119" t="s">
        <v>143</v>
      </c>
      <c r="C10" s="6" t="s">
        <v>616</v>
      </c>
      <c r="D10" s="7" t="s">
        <v>28</v>
      </c>
      <c r="E10" s="7" t="s">
        <v>141</v>
      </c>
      <c r="F10" s="6" t="s">
        <v>142</v>
      </c>
      <c r="G10" s="6" t="s">
        <v>144</v>
      </c>
      <c r="H10" s="6" t="s">
        <v>13</v>
      </c>
      <c r="I10" s="6" t="s">
        <v>145</v>
      </c>
      <c r="J10" s="6"/>
    </row>
    <row r="11" spans="1:10" ht="225" x14ac:dyDescent="0.25">
      <c r="A11" s="87" t="s">
        <v>524</v>
      </c>
      <c r="B11" s="124" t="s">
        <v>363</v>
      </c>
      <c r="C11" s="6" t="s">
        <v>627</v>
      </c>
      <c r="D11" s="7" t="s">
        <v>364</v>
      </c>
      <c r="E11" s="7">
        <v>12000</v>
      </c>
      <c r="F11" s="7" t="s">
        <v>617</v>
      </c>
      <c r="G11" s="6" t="s">
        <v>365</v>
      </c>
      <c r="H11" s="6" t="s">
        <v>13</v>
      </c>
      <c r="I11" s="6">
        <v>12000</v>
      </c>
      <c r="J11" s="7" t="s">
        <v>366</v>
      </c>
    </row>
    <row r="12" spans="1:10" ht="75" x14ac:dyDescent="0.25">
      <c r="A12" s="87" t="s">
        <v>525</v>
      </c>
      <c r="B12" s="125" t="s">
        <v>116</v>
      </c>
      <c r="C12" s="87" t="s">
        <v>628</v>
      </c>
      <c r="D12" s="7" t="s">
        <v>78</v>
      </c>
      <c r="E12" s="27">
        <v>42125</v>
      </c>
      <c r="F12" s="7" t="s">
        <v>117</v>
      </c>
      <c r="G12" s="7" t="s">
        <v>128</v>
      </c>
      <c r="H12" s="6" t="s">
        <v>13</v>
      </c>
      <c r="I12" s="28">
        <v>42125</v>
      </c>
      <c r="J12" s="6"/>
    </row>
    <row r="13" spans="1:10" ht="120" x14ac:dyDescent="0.25">
      <c r="A13" s="87" t="s">
        <v>526</v>
      </c>
      <c r="B13" s="124" t="s">
        <v>118</v>
      </c>
      <c r="C13" s="6" t="s">
        <v>629</v>
      </c>
      <c r="D13" s="7" t="s">
        <v>120</v>
      </c>
      <c r="E13" s="12" t="s">
        <v>119</v>
      </c>
      <c r="F13" s="7" t="s">
        <v>121</v>
      </c>
      <c r="G13" s="7" t="s">
        <v>129</v>
      </c>
      <c r="H13" s="6" t="s">
        <v>122</v>
      </c>
      <c r="I13" s="28"/>
      <c r="J13" s="6"/>
    </row>
    <row r="14" spans="1:10" ht="45" x14ac:dyDescent="0.25">
      <c r="A14" s="87" t="s">
        <v>526</v>
      </c>
      <c r="B14" s="124" t="s">
        <v>123</v>
      </c>
      <c r="C14" s="6" t="s">
        <v>630</v>
      </c>
      <c r="D14" s="7" t="s">
        <v>124</v>
      </c>
      <c r="E14" s="38" t="s">
        <v>207</v>
      </c>
      <c r="F14" s="7" t="s">
        <v>125</v>
      </c>
      <c r="G14" s="7" t="s">
        <v>126</v>
      </c>
      <c r="H14" s="6" t="s">
        <v>13</v>
      </c>
      <c r="I14" s="28" t="s">
        <v>127</v>
      </c>
      <c r="J14" s="6"/>
    </row>
    <row r="15" spans="1:10" ht="60" x14ac:dyDescent="0.25">
      <c r="A15" s="87" t="s">
        <v>526</v>
      </c>
      <c r="B15" s="126" t="s">
        <v>131</v>
      </c>
      <c r="C15" s="12" t="s">
        <v>631</v>
      </c>
      <c r="D15" s="7" t="s">
        <v>130</v>
      </c>
      <c r="E15" s="39">
        <v>0.5</v>
      </c>
      <c r="F15" s="7" t="s">
        <v>136</v>
      </c>
      <c r="G15" s="7" t="s">
        <v>11</v>
      </c>
      <c r="H15" s="6" t="s">
        <v>13</v>
      </c>
      <c r="I15" s="40">
        <v>0.5</v>
      </c>
      <c r="J15" s="6"/>
    </row>
    <row r="16" spans="1:10" ht="60" x14ac:dyDescent="0.25">
      <c r="A16" s="87" t="s">
        <v>526</v>
      </c>
      <c r="B16" s="126" t="s">
        <v>208</v>
      </c>
      <c r="C16" s="12" t="s">
        <v>631</v>
      </c>
      <c r="D16" s="7" t="s">
        <v>130</v>
      </c>
      <c r="E16" s="41">
        <v>0.4</v>
      </c>
      <c r="F16" s="7" t="s">
        <v>209</v>
      </c>
      <c r="G16" s="7" t="s">
        <v>11</v>
      </c>
      <c r="H16" s="6" t="s">
        <v>13</v>
      </c>
      <c r="I16" s="28"/>
      <c r="J16" s="6"/>
    </row>
    <row r="17" spans="1:12" ht="30" x14ac:dyDescent="0.25">
      <c r="A17" s="87" t="s">
        <v>526</v>
      </c>
      <c r="B17" s="127" t="s">
        <v>134</v>
      </c>
      <c r="C17" s="38" t="s">
        <v>632</v>
      </c>
      <c r="D17" s="7" t="s">
        <v>132</v>
      </c>
      <c r="E17" s="42">
        <v>20150</v>
      </c>
      <c r="F17" s="7" t="s">
        <v>209</v>
      </c>
      <c r="G17" s="7" t="s">
        <v>11</v>
      </c>
      <c r="H17" s="6" t="s">
        <v>13</v>
      </c>
      <c r="I17" s="28"/>
      <c r="J17" s="6"/>
    </row>
    <row r="18" spans="1:12" ht="30" x14ac:dyDescent="0.25">
      <c r="A18" s="87" t="s">
        <v>526</v>
      </c>
      <c r="B18" s="127" t="s">
        <v>133</v>
      </c>
      <c r="C18" s="38" t="s">
        <v>633</v>
      </c>
      <c r="D18" s="7" t="s">
        <v>132</v>
      </c>
      <c r="E18" s="42">
        <v>1500</v>
      </c>
      <c r="F18" s="7" t="s">
        <v>135</v>
      </c>
      <c r="G18" s="7"/>
      <c r="H18" s="6"/>
      <c r="I18" s="28"/>
      <c r="J18" s="6"/>
    </row>
    <row r="19" spans="1:12" ht="60" x14ac:dyDescent="0.25">
      <c r="A19" s="87" t="s">
        <v>526</v>
      </c>
      <c r="B19" s="124" t="s">
        <v>137</v>
      </c>
      <c r="C19" s="6" t="s">
        <v>634</v>
      </c>
      <c r="D19" s="7" t="s">
        <v>138</v>
      </c>
      <c r="E19" s="43">
        <v>0.8</v>
      </c>
      <c r="F19" s="7" t="s">
        <v>139</v>
      </c>
      <c r="G19" s="7" t="s">
        <v>140</v>
      </c>
      <c r="H19" s="6" t="s">
        <v>13</v>
      </c>
      <c r="I19" s="40">
        <v>0.8</v>
      </c>
      <c r="J19" s="6"/>
    </row>
    <row r="20" spans="1:12" ht="60" x14ac:dyDescent="0.25">
      <c r="A20" s="87" t="s">
        <v>526</v>
      </c>
      <c r="B20" s="124" t="s">
        <v>81</v>
      </c>
      <c r="C20" s="6" t="s">
        <v>635</v>
      </c>
      <c r="D20" s="7" t="s">
        <v>28</v>
      </c>
      <c r="E20" s="7" t="s">
        <v>82</v>
      </c>
      <c r="F20" s="7" t="s">
        <v>83</v>
      </c>
      <c r="G20" s="6" t="s">
        <v>84</v>
      </c>
      <c r="H20" s="6" t="s">
        <v>13</v>
      </c>
      <c r="I20" s="6" t="s">
        <v>85</v>
      </c>
      <c r="J20" s="6"/>
    </row>
    <row r="21" spans="1:12" ht="75" x14ac:dyDescent="0.25">
      <c r="A21" s="87" t="s">
        <v>523</v>
      </c>
      <c r="B21" s="119" t="s">
        <v>20</v>
      </c>
      <c r="C21" s="11"/>
      <c r="D21" s="12"/>
      <c r="E21" s="12" t="s">
        <v>21</v>
      </c>
      <c r="F21" s="6"/>
      <c r="G21" s="6"/>
      <c r="H21" s="6"/>
      <c r="I21" s="6"/>
      <c r="J21" s="6"/>
    </row>
    <row r="22" spans="1:12" ht="90" x14ac:dyDescent="0.25">
      <c r="A22" s="87" t="s">
        <v>523</v>
      </c>
      <c r="B22" s="119" t="s">
        <v>29</v>
      </c>
      <c r="C22" s="6" t="s">
        <v>619</v>
      </c>
      <c r="D22" s="7" t="s">
        <v>30</v>
      </c>
      <c r="E22" s="6" t="s">
        <v>31</v>
      </c>
      <c r="F22" s="9" t="s">
        <v>32</v>
      </c>
      <c r="G22" s="6" t="s">
        <v>11</v>
      </c>
      <c r="H22" s="6" t="s">
        <v>13</v>
      </c>
      <c r="I22" s="6" t="s">
        <v>36</v>
      </c>
      <c r="J22" s="10" t="s">
        <v>35</v>
      </c>
    </row>
    <row r="23" spans="1:12" ht="45" x14ac:dyDescent="0.25">
      <c r="A23" s="87" t="s">
        <v>523</v>
      </c>
      <c r="B23" s="119" t="s">
        <v>37</v>
      </c>
      <c r="C23" s="6" t="s">
        <v>620</v>
      </c>
      <c r="D23" s="7" t="s">
        <v>30</v>
      </c>
      <c r="E23" s="6" t="s">
        <v>38</v>
      </c>
      <c r="F23" s="7" t="s">
        <v>40</v>
      </c>
      <c r="G23" s="6" t="s">
        <v>11</v>
      </c>
      <c r="H23" s="6" t="s">
        <v>13</v>
      </c>
      <c r="I23" s="6" t="s">
        <v>39</v>
      </c>
      <c r="J23" s="6"/>
    </row>
    <row r="24" spans="1:12" ht="45" x14ac:dyDescent="0.25">
      <c r="A24" s="87" t="s">
        <v>523</v>
      </c>
      <c r="B24" s="119" t="s">
        <v>41</v>
      </c>
      <c r="C24" s="6" t="s">
        <v>621</v>
      </c>
      <c r="D24" s="7" t="s">
        <v>30</v>
      </c>
      <c r="E24" s="6" t="s">
        <v>42</v>
      </c>
      <c r="F24" s="7" t="s">
        <v>40</v>
      </c>
      <c r="G24" s="6" t="s">
        <v>11</v>
      </c>
      <c r="H24" s="6" t="s">
        <v>13</v>
      </c>
      <c r="I24" s="6" t="s">
        <v>43</v>
      </c>
      <c r="J24" s="6"/>
    </row>
    <row r="25" spans="1:12" ht="75" x14ac:dyDescent="0.25">
      <c r="A25" s="87" t="s">
        <v>523</v>
      </c>
      <c r="B25" s="119" t="s">
        <v>44</v>
      </c>
      <c r="C25" s="6" t="s">
        <v>622</v>
      </c>
      <c r="D25" s="7" t="s">
        <v>28</v>
      </c>
      <c r="E25" s="7" t="s">
        <v>45</v>
      </c>
      <c r="F25" s="13" t="s">
        <v>47</v>
      </c>
      <c r="G25" s="6" t="s">
        <v>11</v>
      </c>
      <c r="H25" s="6" t="s">
        <v>46</v>
      </c>
      <c r="I25" s="6" t="s">
        <v>46</v>
      </c>
      <c r="J25" s="6"/>
    </row>
    <row r="26" spans="1:12" ht="120" x14ac:dyDescent="0.25">
      <c r="A26" s="87" t="s">
        <v>523</v>
      </c>
      <c r="B26" s="119" t="s">
        <v>48</v>
      </c>
      <c r="C26" s="6" t="s">
        <v>623</v>
      </c>
      <c r="D26" s="7" t="s">
        <v>30</v>
      </c>
      <c r="E26" s="6" t="s">
        <v>49</v>
      </c>
      <c r="F26" s="7" t="s">
        <v>50</v>
      </c>
      <c r="G26" s="6" t="s">
        <v>11</v>
      </c>
      <c r="H26" s="6" t="s">
        <v>51</v>
      </c>
      <c r="I26" s="6" t="s">
        <v>51</v>
      </c>
      <c r="J26" s="7" t="s">
        <v>52</v>
      </c>
    </row>
    <row r="27" spans="1:12" ht="75" x14ac:dyDescent="0.25">
      <c r="A27" s="87" t="s">
        <v>523</v>
      </c>
      <c r="B27" s="119" t="s">
        <v>53</v>
      </c>
      <c r="C27" s="11"/>
      <c r="D27" s="12"/>
      <c r="E27" s="12" t="s">
        <v>54</v>
      </c>
      <c r="F27" s="6"/>
      <c r="G27" s="6"/>
      <c r="H27" s="6"/>
      <c r="I27" s="6"/>
      <c r="J27" s="6"/>
    </row>
    <row r="28" spans="1:12" ht="30" x14ac:dyDescent="0.25">
      <c r="A28" s="87" t="s">
        <v>523</v>
      </c>
      <c r="B28" s="119" t="s">
        <v>55</v>
      </c>
      <c r="C28" s="6" t="s">
        <v>624</v>
      </c>
      <c r="D28" s="7" t="s">
        <v>30</v>
      </c>
      <c r="E28" s="6" t="s">
        <v>38</v>
      </c>
      <c r="F28" s="6"/>
      <c r="G28" s="6" t="s">
        <v>11</v>
      </c>
      <c r="H28" s="6" t="s">
        <v>13</v>
      </c>
      <c r="I28" s="6" t="s">
        <v>56</v>
      </c>
      <c r="J28" s="6"/>
    </row>
    <row r="29" spans="1:12" ht="75" x14ac:dyDescent="0.25">
      <c r="A29" s="87" t="s">
        <v>523</v>
      </c>
      <c r="B29" s="119" t="s">
        <v>57</v>
      </c>
      <c r="C29" s="6" t="s">
        <v>625</v>
      </c>
      <c r="D29" s="7" t="s">
        <v>28</v>
      </c>
      <c r="E29" s="6" t="s">
        <v>58</v>
      </c>
      <c r="F29" s="7" t="s">
        <v>59</v>
      </c>
      <c r="G29" s="6"/>
      <c r="H29" s="6"/>
      <c r="I29" s="6"/>
      <c r="J29" s="6"/>
    </row>
    <row r="30" spans="1:12" ht="75" x14ac:dyDescent="0.25">
      <c r="A30" s="87" t="s">
        <v>523</v>
      </c>
      <c r="B30" s="119" t="s">
        <v>501</v>
      </c>
      <c r="C30" s="6" t="s">
        <v>626</v>
      </c>
      <c r="D30" s="7" t="s">
        <v>28</v>
      </c>
      <c r="E30" s="7" t="s">
        <v>45</v>
      </c>
      <c r="F30" s="13" t="s">
        <v>502</v>
      </c>
      <c r="G30" s="6" t="s">
        <v>11</v>
      </c>
      <c r="H30" s="6" t="s">
        <v>46</v>
      </c>
      <c r="I30" s="6" t="s">
        <v>46</v>
      </c>
      <c r="J30" s="6"/>
    </row>
    <row r="31" spans="1:12" ht="60" x14ac:dyDescent="0.25">
      <c r="A31" s="98" t="s">
        <v>547</v>
      </c>
      <c r="B31" s="124" t="s">
        <v>540</v>
      </c>
      <c r="C31" s="92" t="s">
        <v>636</v>
      </c>
      <c r="D31" s="90" t="s">
        <v>541</v>
      </c>
      <c r="E31" s="97">
        <v>0.06</v>
      </c>
      <c r="F31" s="90" t="s">
        <v>546</v>
      </c>
      <c r="G31" s="92" t="s">
        <v>11</v>
      </c>
      <c r="H31" s="97">
        <v>0.06</v>
      </c>
      <c r="I31" s="97">
        <v>0.06</v>
      </c>
      <c r="J31" s="92"/>
      <c r="L31" s="101">
        <v>45008</v>
      </c>
    </row>
    <row r="32" spans="1:12" ht="30" x14ac:dyDescent="0.25">
      <c r="A32" s="98" t="s">
        <v>545</v>
      </c>
      <c r="B32" s="124" t="s">
        <v>542</v>
      </c>
      <c r="C32" s="92" t="s">
        <v>637</v>
      </c>
      <c r="D32" s="90" t="s">
        <v>109</v>
      </c>
      <c r="E32" s="99">
        <v>200000</v>
      </c>
      <c r="F32" s="92" t="s">
        <v>543</v>
      </c>
      <c r="G32" s="92" t="s">
        <v>11</v>
      </c>
      <c r="H32" s="92" t="s">
        <v>13</v>
      </c>
      <c r="I32" s="99">
        <v>200000</v>
      </c>
      <c r="J32" s="100" t="s">
        <v>544</v>
      </c>
      <c r="L32" s="101">
        <v>45008</v>
      </c>
    </row>
    <row r="33" spans="1:10" ht="30" x14ac:dyDescent="0.25">
      <c r="A33" s="98" t="s">
        <v>545</v>
      </c>
      <c r="B33" s="129" t="s">
        <v>584</v>
      </c>
      <c r="C33" s="128" t="s">
        <v>638</v>
      </c>
      <c r="D33" s="90" t="s">
        <v>459</v>
      </c>
      <c r="E33" s="92" t="s">
        <v>11</v>
      </c>
      <c r="F33" s="92" t="s">
        <v>583</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topLeftCell="A7" workbookViewId="0">
      <selection activeCell="B19" sqref="B19:F20"/>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604</v>
      </c>
    </row>
    <row r="12" spans="2:8" ht="60"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30" x14ac:dyDescent="0.25">
      <c r="B21" s="8" t="s">
        <v>60</v>
      </c>
      <c r="C21" s="8" t="s">
        <v>61</v>
      </c>
      <c r="D21" s="21" t="s">
        <v>62</v>
      </c>
      <c r="E21" s="8" t="s">
        <v>63</v>
      </c>
      <c r="F21" s="4" t="s">
        <v>89</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30"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19"/>
  <sheetViews>
    <sheetView rightToLeft="1" tabSelected="1" topLeftCell="A4" workbookViewId="0">
      <selection activeCell="B7" sqref="B7"/>
    </sheetView>
  </sheetViews>
  <sheetFormatPr defaultColWidth="8.75" defaultRowHeight="15" x14ac:dyDescent="0.25"/>
  <cols>
    <col min="1" max="1" width="8.75" style="1"/>
    <col min="2" max="10" width="18" style="1" customWidth="1"/>
    <col min="12" max="12" width="8.75" style="1"/>
    <col min="13" max="13" width="10.5" style="1" customWidth="1"/>
    <col min="14" max="16384" width="8.75" style="1"/>
  </cols>
  <sheetData>
    <row r="3" spans="1:13" x14ac:dyDescent="0.25">
      <c r="B3" s="1" t="s">
        <v>106</v>
      </c>
    </row>
    <row r="5" spans="1:13" s="4" customFormat="1" ht="75" x14ac:dyDescent="0.25">
      <c r="A5" s="8" t="s">
        <v>522</v>
      </c>
      <c r="B5" s="8" t="s">
        <v>26</v>
      </c>
      <c r="C5" s="8" t="s">
        <v>609</v>
      </c>
      <c r="D5" s="8" t="s">
        <v>22</v>
      </c>
      <c r="E5" s="8" t="s">
        <v>27</v>
      </c>
      <c r="F5" s="8" t="s">
        <v>33</v>
      </c>
      <c r="G5" s="8" t="s">
        <v>9</v>
      </c>
      <c r="H5" s="8" t="s">
        <v>10</v>
      </c>
      <c r="I5" s="8" t="s">
        <v>14</v>
      </c>
      <c r="J5" s="8" t="s">
        <v>34</v>
      </c>
    </row>
    <row r="6" spans="1:13" ht="105" x14ac:dyDescent="0.25">
      <c r="A6" s="87" t="s">
        <v>523</v>
      </c>
      <c r="B6" s="124" t="s">
        <v>107</v>
      </c>
      <c r="C6" s="130" t="s">
        <v>639</v>
      </c>
      <c r="D6" s="7" t="s">
        <v>109</v>
      </c>
      <c r="E6" s="37" t="s">
        <v>115</v>
      </c>
      <c r="F6" s="6"/>
      <c r="G6" s="6" t="s">
        <v>11</v>
      </c>
      <c r="H6" s="6" t="s">
        <v>13</v>
      </c>
      <c r="I6" s="6" t="s">
        <v>108</v>
      </c>
      <c r="J6" s="7" t="s">
        <v>110</v>
      </c>
    </row>
    <row r="7" spans="1:13" ht="225" x14ac:dyDescent="0.25">
      <c r="A7" s="93" t="s">
        <v>526</v>
      </c>
      <c r="B7" s="131" t="s">
        <v>527</v>
      </c>
      <c r="C7" s="90" t="s">
        <v>640</v>
      </c>
      <c r="D7" s="90" t="s">
        <v>109</v>
      </c>
      <c r="E7" s="91"/>
      <c r="F7" s="90" t="s">
        <v>528</v>
      </c>
      <c r="G7" s="92" t="s">
        <v>12</v>
      </c>
      <c r="H7" s="92" t="s">
        <v>529</v>
      </c>
      <c r="I7" s="95">
        <v>2000</v>
      </c>
      <c r="J7" s="90" t="s">
        <v>536</v>
      </c>
      <c r="M7" s="94" t="s">
        <v>530</v>
      </c>
    </row>
    <row r="8" spans="1:13" x14ac:dyDescent="0.25">
      <c r="B8" s="11" t="s">
        <v>147</v>
      </c>
      <c r="C8" s="11"/>
      <c r="D8" s="7"/>
      <c r="E8" s="6"/>
      <c r="F8" s="6"/>
      <c r="G8" s="6"/>
      <c r="H8" s="6"/>
      <c r="I8" s="6"/>
      <c r="J8" s="6"/>
    </row>
    <row r="9" spans="1:13" x14ac:dyDescent="0.25">
      <c r="A9" s="1" t="s">
        <v>523</v>
      </c>
      <c r="B9" s="133" t="s">
        <v>148</v>
      </c>
      <c r="C9" s="1" t="s">
        <v>642</v>
      </c>
      <c r="D9" s="1" t="s">
        <v>149</v>
      </c>
      <c r="E9" s="1">
        <v>350</v>
      </c>
      <c r="G9" s="1" t="s">
        <v>11</v>
      </c>
      <c r="H9" s="1" t="s">
        <v>13</v>
      </c>
      <c r="I9" s="1">
        <v>350</v>
      </c>
      <c r="J9" s="1" t="s">
        <v>156</v>
      </c>
    </row>
    <row r="10" spans="1:13" x14ac:dyDescent="0.25">
      <c r="A10" s="1" t="s">
        <v>523</v>
      </c>
      <c r="B10" s="133" t="s">
        <v>150</v>
      </c>
      <c r="C10" s="1" t="s">
        <v>643</v>
      </c>
      <c r="D10" s="1" t="s">
        <v>151</v>
      </c>
      <c r="E10" s="1" t="s">
        <v>152</v>
      </c>
      <c r="G10" s="1" t="s">
        <v>11</v>
      </c>
      <c r="H10" s="1" t="s">
        <v>13</v>
      </c>
      <c r="I10" s="1" t="s">
        <v>153</v>
      </c>
    </row>
    <row r="11" spans="1:13" x14ac:dyDescent="0.25">
      <c r="B11" s="15" t="s">
        <v>457</v>
      </c>
      <c r="C11" s="15"/>
    </row>
    <row r="12" spans="1:13" ht="60" x14ac:dyDescent="0.25">
      <c r="A12" s="1" t="s">
        <v>597</v>
      </c>
      <c r="B12" s="132" t="s">
        <v>458</v>
      </c>
      <c r="C12" s="16" t="s">
        <v>641</v>
      </c>
      <c r="D12" s="1" t="s">
        <v>459</v>
      </c>
      <c r="E12" s="1" t="s">
        <v>460</v>
      </c>
      <c r="J12" s="1" t="s">
        <v>462</v>
      </c>
    </row>
    <row r="13" spans="1:13" ht="45" x14ac:dyDescent="0.25">
      <c r="A13" s="1" t="s">
        <v>597</v>
      </c>
      <c r="B13" s="134" t="s">
        <v>461</v>
      </c>
      <c r="C13" s="4" t="s">
        <v>644</v>
      </c>
      <c r="D13" s="1" t="s">
        <v>149</v>
      </c>
      <c r="E13" s="1">
        <v>150</v>
      </c>
    </row>
    <row r="14" spans="1:13" x14ac:dyDescent="0.25">
      <c r="B14" s="11" t="s">
        <v>154</v>
      </c>
      <c r="C14" s="63"/>
    </row>
    <row r="15" spans="1:13" x14ac:dyDescent="0.25">
      <c r="A15" s="1" t="s">
        <v>523</v>
      </c>
      <c r="B15" s="133" t="s">
        <v>155</v>
      </c>
      <c r="C15" s="1" t="s">
        <v>645</v>
      </c>
      <c r="D15" s="1" t="s">
        <v>149</v>
      </c>
      <c r="E15" s="1">
        <v>45</v>
      </c>
      <c r="G15" s="1" t="s">
        <v>11</v>
      </c>
      <c r="H15" s="1" t="s">
        <v>13</v>
      </c>
      <c r="I15" s="1">
        <v>45</v>
      </c>
      <c r="J15" s="1" t="s">
        <v>156</v>
      </c>
    </row>
    <row r="16" spans="1:13" ht="45" x14ac:dyDescent="0.25">
      <c r="A16" s="1" t="s">
        <v>523</v>
      </c>
      <c r="B16" s="133" t="s">
        <v>157</v>
      </c>
      <c r="C16" s="1" t="s">
        <v>646</v>
      </c>
      <c r="D16" s="4" t="s">
        <v>158</v>
      </c>
      <c r="E16" s="1" t="s">
        <v>159</v>
      </c>
      <c r="G16" s="1" t="s">
        <v>11</v>
      </c>
      <c r="H16" s="1" t="s">
        <v>159</v>
      </c>
      <c r="I16" s="1" t="s">
        <v>159</v>
      </c>
    </row>
    <row r="17" spans="1:9" x14ac:dyDescent="0.25">
      <c r="A17" s="1" t="s">
        <v>523</v>
      </c>
      <c r="B17" s="133" t="s">
        <v>160</v>
      </c>
      <c r="C17" s="1" t="s">
        <v>647</v>
      </c>
      <c r="D17" s="1" t="s">
        <v>151</v>
      </c>
      <c r="E17" s="1" t="s">
        <v>255</v>
      </c>
      <c r="G17" s="1" t="s">
        <v>11</v>
      </c>
      <c r="H17" s="1" t="s">
        <v>13</v>
      </c>
      <c r="I17" s="1" t="s">
        <v>161</v>
      </c>
    </row>
    <row r="19" spans="1:9" x14ac:dyDescent="0.25">
      <c r="B19" s="76" t="s">
        <v>503</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411"/>
  <sheetViews>
    <sheetView rightToLeft="1" topLeftCell="D4" workbookViewId="0">
      <selection activeCell="D23" sqref="D23"/>
    </sheetView>
  </sheetViews>
  <sheetFormatPr defaultColWidth="8.75" defaultRowHeight="15" x14ac:dyDescent="0.25"/>
  <cols>
    <col min="1" max="2" width="8.75" style="1"/>
    <col min="3" max="3" width="42.25" style="1" bestFit="1" customWidth="1"/>
    <col min="4" max="4" width="52.75" style="1" bestFit="1" customWidth="1"/>
    <col min="5" max="5" width="15.375" style="1" bestFit="1" customWidth="1"/>
    <col min="6" max="16384" width="8.75" style="1"/>
  </cols>
  <sheetData>
    <row r="2" spans="2:13" x14ac:dyDescent="0.25">
      <c r="C2" s="1" t="s">
        <v>162</v>
      </c>
    </row>
    <row r="3" spans="2:13" x14ac:dyDescent="0.25">
      <c r="B3" s="1" t="s">
        <v>648</v>
      </c>
    </row>
    <row r="4" spans="2:13" x14ac:dyDescent="0.25">
      <c r="B4" s="1">
        <v>1</v>
      </c>
      <c r="C4" s="31" t="s">
        <v>4</v>
      </c>
    </row>
    <row r="5" spans="2:13" x14ac:dyDescent="0.25">
      <c r="C5" s="45" t="s">
        <v>165</v>
      </c>
      <c r="D5" s="45" t="s">
        <v>166</v>
      </c>
    </row>
    <row r="6" spans="2:13" x14ac:dyDescent="0.25">
      <c r="C6" s="115" t="s">
        <v>163</v>
      </c>
      <c r="D6" s="6" t="s">
        <v>164</v>
      </c>
      <c r="G6" s="123" t="s">
        <v>605</v>
      </c>
      <c r="H6" s="123"/>
      <c r="I6" s="123"/>
      <c r="J6" s="123"/>
      <c r="K6" s="123"/>
      <c r="L6" s="123"/>
      <c r="M6" s="123"/>
    </row>
    <row r="7" spans="2:13" x14ac:dyDescent="0.25">
      <c r="C7" s="115" t="s">
        <v>7</v>
      </c>
      <c r="D7" s="6" t="s">
        <v>167</v>
      </c>
    </row>
    <row r="8" spans="2:13" x14ac:dyDescent="0.25">
      <c r="C8" s="115" t="s">
        <v>8</v>
      </c>
      <c r="D8" s="6" t="s">
        <v>167</v>
      </c>
    </row>
    <row r="9" spans="2:13" x14ac:dyDescent="0.25">
      <c r="C9" s="115" t="s">
        <v>75</v>
      </c>
      <c r="D9" s="6" t="s">
        <v>167</v>
      </c>
    </row>
    <row r="10" spans="2:13" x14ac:dyDescent="0.25">
      <c r="C10" s="115" t="s">
        <v>80</v>
      </c>
      <c r="D10" s="6" t="s">
        <v>167</v>
      </c>
    </row>
    <row r="11" spans="2:13" x14ac:dyDescent="0.25">
      <c r="C11" s="115" t="s">
        <v>77</v>
      </c>
      <c r="D11" s="6" t="s">
        <v>167</v>
      </c>
    </row>
    <row r="12" spans="2:13" x14ac:dyDescent="0.25">
      <c r="B12" s="1" t="s">
        <v>649</v>
      </c>
      <c r="C12" s="116" t="s">
        <v>168</v>
      </c>
      <c r="D12" s="113" t="s">
        <v>169</v>
      </c>
    </row>
    <row r="13" spans="2:13" x14ac:dyDescent="0.25">
      <c r="C13" s="115" t="s">
        <v>552</v>
      </c>
      <c r="D13" s="6" t="s">
        <v>551</v>
      </c>
    </row>
    <row r="14" spans="2:13" x14ac:dyDescent="0.25">
      <c r="C14" s="115" t="s">
        <v>81</v>
      </c>
      <c r="D14" s="6" t="s">
        <v>167</v>
      </c>
    </row>
    <row r="15" spans="2:13" x14ac:dyDescent="0.25">
      <c r="B15" s="1" t="s">
        <v>650</v>
      </c>
      <c r="C15" s="116" t="s">
        <v>170</v>
      </c>
      <c r="D15" s="113" t="s">
        <v>171</v>
      </c>
    </row>
    <row r="16" spans="2:13" x14ac:dyDescent="0.25">
      <c r="C16" s="115" t="s">
        <v>172</v>
      </c>
      <c r="D16" s="6" t="s">
        <v>173</v>
      </c>
    </row>
    <row r="17" spans="2:9" x14ac:dyDescent="0.25">
      <c r="C17" s="115" t="s">
        <v>174</v>
      </c>
      <c r="D17" s="6" t="s">
        <v>175</v>
      </c>
    </row>
    <row r="18" spans="2:9" x14ac:dyDescent="0.25">
      <c r="C18" s="115" t="s">
        <v>118</v>
      </c>
      <c r="D18" s="6" t="s">
        <v>176</v>
      </c>
    </row>
    <row r="19" spans="2:9" x14ac:dyDescent="0.25">
      <c r="C19" s="115" t="s">
        <v>137</v>
      </c>
      <c r="D19" s="6" t="s">
        <v>180</v>
      </c>
    </row>
    <row r="20" spans="2:9" ht="7.15" customHeight="1" x14ac:dyDescent="0.25"/>
    <row r="21" spans="2:9" x14ac:dyDescent="0.25">
      <c r="C21" s="115" t="s">
        <v>184</v>
      </c>
      <c r="D21" s="6" t="s">
        <v>181</v>
      </c>
    </row>
    <row r="22" spans="2:9" x14ac:dyDescent="0.25">
      <c r="C22" s="115" t="s">
        <v>531</v>
      </c>
      <c r="D22" s="6" t="s">
        <v>185</v>
      </c>
      <c r="F22" s="96" t="s">
        <v>532</v>
      </c>
      <c r="G22" s="96"/>
      <c r="H22" s="96"/>
      <c r="I22" s="96"/>
    </row>
    <row r="23" spans="2:9" ht="60" x14ac:dyDescent="0.25">
      <c r="C23" s="116" t="s">
        <v>533</v>
      </c>
      <c r="D23" s="114" t="s">
        <v>535</v>
      </c>
      <c r="E23" s="96"/>
      <c r="F23" s="96" t="s">
        <v>534</v>
      </c>
      <c r="G23" s="96"/>
      <c r="H23" s="96"/>
      <c r="I23" s="96"/>
    </row>
    <row r="24" spans="2:9" x14ac:dyDescent="0.25">
      <c r="C24" s="115" t="s">
        <v>182</v>
      </c>
      <c r="D24" s="6" t="s">
        <v>181</v>
      </c>
    </row>
    <row r="25" spans="2:9" x14ac:dyDescent="0.25">
      <c r="C25" s="115" t="s">
        <v>183</v>
      </c>
      <c r="D25" s="6" t="s">
        <v>181</v>
      </c>
    </row>
    <row r="27" spans="2:9" x14ac:dyDescent="0.25">
      <c r="B27" s="1">
        <v>2</v>
      </c>
      <c r="C27" s="15" t="s">
        <v>69</v>
      </c>
    </row>
    <row r="28" spans="2:9" x14ac:dyDescent="0.25">
      <c r="C28" s="1" t="s">
        <v>186</v>
      </c>
    </row>
    <row r="29" spans="2:9" ht="75" x14ac:dyDescent="0.25">
      <c r="C29" s="8" t="s">
        <v>60</v>
      </c>
      <c r="D29" s="8" t="s">
        <v>61</v>
      </c>
      <c r="E29" s="21" t="s">
        <v>62</v>
      </c>
      <c r="F29" s="8" t="s">
        <v>63</v>
      </c>
      <c r="G29" s="7" t="s">
        <v>89</v>
      </c>
    </row>
    <row r="30" spans="2:9" x14ac:dyDescent="0.25">
      <c r="C30" s="19">
        <v>32874</v>
      </c>
      <c r="D30" s="19">
        <v>33603</v>
      </c>
      <c r="E30" s="22">
        <f>(DATE(YEAR(D30),MONTH(D30)+IF(DAY(D30)&gt;15,1,0),1)-DATE(YEAR(C30),MONTH(C30)+IF((DATE(YEAR(C30),MONTH(C30)+1,1)-C30)&lt;16,1,0),1))/365.25</f>
        <v>1.998631074606434</v>
      </c>
      <c r="F30" s="20">
        <v>0.8</v>
      </c>
      <c r="G30" s="48">
        <f>E30*F30</f>
        <v>1.5989048596851472</v>
      </c>
    </row>
    <row r="31" spans="2:9" x14ac:dyDescent="0.25">
      <c r="C31" s="19">
        <v>33604</v>
      </c>
      <c r="D31" s="19">
        <v>36891</v>
      </c>
      <c r="E31" s="22">
        <f t="shared" ref="E31:E36" si="0">(DATE(YEAR(D31),MONTH(D31)+IF(DAY(D31)&gt;15,1,0),1)-DATE(YEAR(C31),MONTH(C31)+IF((DATE(YEAR(C31),MONTH(C31)+1,1)-C31)&lt;16,1,0),1))/365.25</f>
        <v>9.0020533880903493</v>
      </c>
      <c r="F31" s="20">
        <v>1</v>
      </c>
      <c r="G31" s="48">
        <f>E31*F31</f>
        <v>9.0020533880903493</v>
      </c>
    </row>
    <row r="32" spans="2:9" x14ac:dyDescent="0.25">
      <c r="C32" s="19">
        <v>36892</v>
      </c>
      <c r="D32" s="19">
        <v>37256</v>
      </c>
      <c r="E32" s="22">
        <f t="shared" si="0"/>
        <v>0.99931553730321698</v>
      </c>
      <c r="F32" s="20">
        <v>0</v>
      </c>
      <c r="G32" s="48"/>
    </row>
    <row r="33" spans="2:16" x14ac:dyDescent="0.25">
      <c r="C33" s="19">
        <v>37257</v>
      </c>
      <c r="D33" s="19">
        <v>37986</v>
      </c>
      <c r="E33" s="22">
        <f t="shared" si="0"/>
        <v>1.998631074606434</v>
      </c>
      <c r="F33" s="20">
        <v>0.25</v>
      </c>
      <c r="G33" s="48"/>
    </row>
    <row r="34" spans="2:16" x14ac:dyDescent="0.25">
      <c r="C34" s="19">
        <v>37987</v>
      </c>
      <c r="D34" s="19">
        <v>39457</v>
      </c>
      <c r="E34" s="22">
        <f t="shared" si="0"/>
        <v>4</v>
      </c>
      <c r="F34" s="20">
        <v>0.6</v>
      </c>
      <c r="G34" s="48">
        <f>E34*F34</f>
        <v>2.4</v>
      </c>
    </row>
    <row r="35" spans="2:16" x14ac:dyDescent="0.25">
      <c r="C35" s="19">
        <v>39458</v>
      </c>
      <c r="D35" s="19">
        <v>42369</v>
      </c>
      <c r="E35" s="22">
        <f t="shared" si="0"/>
        <v>8</v>
      </c>
      <c r="F35" s="20">
        <v>1</v>
      </c>
      <c r="G35" s="48">
        <f>E35*F35</f>
        <v>8</v>
      </c>
    </row>
    <row r="36" spans="2:16" x14ac:dyDescent="0.25">
      <c r="C36" s="19">
        <v>42370</v>
      </c>
      <c r="D36" s="19">
        <v>45291</v>
      </c>
      <c r="E36" s="22">
        <f t="shared" si="0"/>
        <v>8</v>
      </c>
      <c r="F36" s="20">
        <v>0.9</v>
      </c>
      <c r="G36" s="48">
        <f>E36*F36</f>
        <v>7.2</v>
      </c>
    </row>
    <row r="37" spans="2:16" x14ac:dyDescent="0.25">
      <c r="E37" s="29">
        <f>SUM(E30:E36)</f>
        <v>33.998631074606436</v>
      </c>
      <c r="G37" s="29">
        <f>SUM(G30:G36)</f>
        <v>28.200958247775496</v>
      </c>
    </row>
    <row r="38" spans="2:16" x14ac:dyDescent="0.25">
      <c r="E38" s="29"/>
      <c r="G38" s="29"/>
    </row>
    <row r="39" spans="2:16" x14ac:dyDescent="0.25">
      <c r="C39" s="58" t="s">
        <v>90</v>
      </c>
      <c r="E39" s="29"/>
      <c r="G39" s="29"/>
    </row>
    <row r="40" spans="2:16" x14ac:dyDescent="0.25">
      <c r="C40" s="116" t="s">
        <v>92</v>
      </c>
      <c r="E40" s="29"/>
      <c r="G40" s="29">
        <f>E37</f>
        <v>33.998631074606436</v>
      </c>
    </row>
    <row r="41" spans="2:16" x14ac:dyDescent="0.25">
      <c r="C41" s="116" t="s">
        <v>94</v>
      </c>
      <c r="E41" s="29"/>
      <c r="G41" s="29">
        <f>SUMIFS(E30:E36,F30:F36,"&gt;0.3329")</f>
        <v>31.000684462696782</v>
      </c>
    </row>
    <row r="42" spans="2:16" x14ac:dyDescent="0.25">
      <c r="C42" s="116" t="s">
        <v>96</v>
      </c>
      <c r="E42" s="29"/>
      <c r="G42" s="29">
        <f>E32</f>
        <v>0.99931553730321698</v>
      </c>
    </row>
    <row r="43" spans="2:16" x14ac:dyDescent="0.25">
      <c r="C43" s="116" t="s">
        <v>97</v>
      </c>
      <c r="G43" s="34">
        <f>E33</f>
        <v>1.998631074606434</v>
      </c>
    </row>
    <row r="44" spans="2:16" x14ac:dyDescent="0.25">
      <c r="C44" s="116" t="s">
        <v>99</v>
      </c>
      <c r="G44" s="30">
        <f>G37/G41</f>
        <v>0.90968824516470903</v>
      </c>
    </row>
    <row r="46" spans="2:16" x14ac:dyDescent="0.25">
      <c r="B46" s="15">
        <v>3</v>
      </c>
      <c r="C46" s="57" t="s">
        <v>191</v>
      </c>
      <c r="E46" s="1" t="s">
        <v>14</v>
      </c>
    </row>
    <row r="47" spans="2:16" x14ac:dyDescent="0.25">
      <c r="C47" s="116" t="s">
        <v>107</v>
      </c>
      <c r="D47" s="92" t="s">
        <v>537</v>
      </c>
      <c r="E47" s="1">
        <v>10000</v>
      </c>
      <c r="G47" s="96" t="s">
        <v>538</v>
      </c>
      <c r="H47" s="96"/>
      <c r="I47" s="96"/>
      <c r="J47" s="96"/>
      <c r="K47" s="96"/>
      <c r="L47" s="96"/>
      <c r="M47" s="96"/>
      <c r="N47" s="96"/>
      <c r="O47" s="96"/>
      <c r="P47" s="96"/>
    </row>
    <row r="48" spans="2:16" x14ac:dyDescent="0.25">
      <c r="C48" s="116" t="s">
        <v>177</v>
      </c>
      <c r="D48" s="6" t="s">
        <v>178</v>
      </c>
      <c r="E48" s="1">
        <v>31</v>
      </c>
    </row>
    <row r="49" spans="3:6" x14ac:dyDescent="0.25">
      <c r="C49" s="117" t="s">
        <v>99</v>
      </c>
      <c r="D49" s="6" t="s">
        <v>179</v>
      </c>
      <c r="E49" s="46">
        <f>G44</f>
        <v>0.90968824516470903</v>
      </c>
    </row>
    <row r="50" spans="3:6" x14ac:dyDescent="0.25">
      <c r="C50" s="113" t="s">
        <v>196</v>
      </c>
      <c r="D50" s="6" t="s">
        <v>197</v>
      </c>
      <c r="E50" s="30">
        <f>E48*2%</f>
        <v>0.62</v>
      </c>
    </row>
    <row r="51" spans="3:6" x14ac:dyDescent="0.25">
      <c r="C51" s="113" t="s">
        <v>198</v>
      </c>
      <c r="D51" s="6" t="s">
        <v>199</v>
      </c>
      <c r="E51" s="30">
        <f>E50*E49</f>
        <v>0.5640067120021196</v>
      </c>
      <c r="F51" s="1" t="s">
        <v>206</v>
      </c>
    </row>
    <row r="52" spans="3:6" x14ac:dyDescent="0.25">
      <c r="C52" s="113" t="s">
        <v>200</v>
      </c>
      <c r="D52" s="6" t="s">
        <v>539</v>
      </c>
      <c r="E52" s="14">
        <f>E51*E47</f>
        <v>5640.0671200211964</v>
      </c>
    </row>
    <row r="53" spans="3:6" x14ac:dyDescent="0.25">
      <c r="C53" s="113" t="s">
        <v>203</v>
      </c>
      <c r="D53" s="6" t="s">
        <v>202</v>
      </c>
      <c r="E53" s="29">
        <f>E52*0.0382</f>
        <v>215.45056398480969</v>
      </c>
    </row>
    <row r="54" spans="3:6" x14ac:dyDescent="0.25">
      <c r="C54" s="113" t="s">
        <v>204</v>
      </c>
      <c r="D54" s="6" t="s">
        <v>205</v>
      </c>
      <c r="E54" s="29">
        <f>E53+E52</f>
        <v>5855.5176840060058</v>
      </c>
    </row>
    <row r="56" spans="3:6" x14ac:dyDescent="0.25">
      <c r="C56" s="31" t="s">
        <v>210</v>
      </c>
    </row>
    <row r="57" spans="3:6" x14ac:dyDescent="0.25">
      <c r="C57" s="31" t="s">
        <v>224</v>
      </c>
    </row>
    <row r="58" spans="3:6" x14ac:dyDescent="0.25">
      <c r="C58" s="1" t="s">
        <v>211</v>
      </c>
    </row>
    <row r="59" spans="3:6" x14ac:dyDescent="0.25">
      <c r="C59" s="1" t="s">
        <v>212</v>
      </c>
    </row>
    <row r="60" spans="3:6" x14ac:dyDescent="0.25">
      <c r="C60" s="1" t="s">
        <v>213</v>
      </c>
    </row>
    <row r="61" spans="3:6" x14ac:dyDescent="0.25">
      <c r="C61" s="1" t="s">
        <v>214</v>
      </c>
    </row>
    <row r="62" spans="3:6" x14ac:dyDescent="0.25">
      <c r="C62" s="1" t="s">
        <v>215</v>
      </c>
    </row>
    <row r="63" spans="3:6" x14ac:dyDescent="0.25">
      <c r="C63" s="1" t="s">
        <v>216</v>
      </c>
    </row>
    <row r="64" spans="3:6" x14ac:dyDescent="0.25">
      <c r="C64" s="1" t="s">
        <v>217</v>
      </c>
    </row>
    <row r="65" spans="3:5" x14ac:dyDescent="0.25">
      <c r="C65" s="1" t="s">
        <v>218</v>
      </c>
    </row>
    <row r="66" spans="3:5" x14ac:dyDescent="0.25">
      <c r="C66" s="1" t="s">
        <v>219</v>
      </c>
    </row>
    <row r="67" spans="3:5" x14ac:dyDescent="0.25">
      <c r="C67" s="1" t="s">
        <v>220</v>
      </c>
      <c r="D67" s="1" t="s">
        <v>221</v>
      </c>
    </row>
    <row r="68" spans="3:5" x14ac:dyDescent="0.25">
      <c r="C68" s="1">
        <v>12000</v>
      </c>
      <c r="D68" s="1" t="s">
        <v>222</v>
      </c>
      <c r="E68" s="1">
        <f>C68*30%</f>
        <v>3600</v>
      </c>
    </row>
    <row r="69" spans="3:5" x14ac:dyDescent="0.25">
      <c r="C69" s="1">
        <v>25000</v>
      </c>
      <c r="D69" s="1" t="s">
        <v>223</v>
      </c>
      <c r="E69" s="1">
        <f>C69*40%</f>
        <v>10000</v>
      </c>
    </row>
    <row r="70" spans="3:5" x14ac:dyDescent="0.25">
      <c r="E70" s="1">
        <f>SUM(E68:E69)</f>
        <v>13600</v>
      </c>
    </row>
    <row r="71" spans="3:5" x14ac:dyDescent="0.25">
      <c r="C71" s="15" t="s">
        <v>268</v>
      </c>
    </row>
    <row r="72" spans="3:5" x14ac:dyDescent="0.25">
      <c r="C72" s="113" t="s">
        <v>225</v>
      </c>
      <c r="D72" s="6" t="s">
        <v>195</v>
      </c>
      <c r="E72" s="1">
        <v>12000</v>
      </c>
    </row>
    <row r="73" spans="3:5" x14ac:dyDescent="0.25">
      <c r="C73" s="113" t="s">
        <v>226</v>
      </c>
      <c r="D73" s="6" t="s">
        <v>195</v>
      </c>
      <c r="E73" s="1">
        <v>25000</v>
      </c>
    </row>
    <row r="74" spans="3:5" x14ac:dyDescent="0.25">
      <c r="C74" s="113" t="s">
        <v>177</v>
      </c>
      <c r="D74" s="6" t="s">
        <v>178</v>
      </c>
      <c r="E74" s="1">
        <v>31</v>
      </c>
    </row>
    <row r="75" spans="3:5" x14ac:dyDescent="0.25">
      <c r="C75" s="113" t="s">
        <v>227</v>
      </c>
      <c r="D75" s="6" t="s">
        <v>229</v>
      </c>
      <c r="E75" s="1">
        <v>15</v>
      </c>
    </row>
    <row r="76" spans="3:5" x14ac:dyDescent="0.25">
      <c r="C76" s="113" t="s">
        <v>228</v>
      </c>
      <c r="D76" s="6" t="s">
        <v>230</v>
      </c>
      <c r="E76" s="1">
        <v>16</v>
      </c>
    </row>
    <row r="77" spans="3:5" x14ac:dyDescent="0.25">
      <c r="C77" s="113" t="s">
        <v>99</v>
      </c>
      <c r="D77" s="6" t="s">
        <v>179</v>
      </c>
      <c r="E77" s="46">
        <v>1</v>
      </c>
    </row>
    <row r="78" spans="3:5" x14ac:dyDescent="0.25">
      <c r="C78" s="113" t="s">
        <v>196</v>
      </c>
      <c r="D78" s="6" t="s">
        <v>197</v>
      </c>
      <c r="E78" s="30">
        <f>E74*2%</f>
        <v>0.62</v>
      </c>
    </row>
    <row r="79" spans="3:5" x14ac:dyDescent="0.25">
      <c r="C79" s="113" t="s">
        <v>231</v>
      </c>
      <c r="D79" s="6" t="s">
        <v>233</v>
      </c>
      <c r="E79" s="30">
        <f>E75*2%</f>
        <v>0.3</v>
      </c>
    </row>
    <row r="80" spans="3:5" x14ac:dyDescent="0.25">
      <c r="C80" s="113" t="s">
        <v>232</v>
      </c>
      <c r="D80" s="6" t="s">
        <v>234</v>
      </c>
      <c r="E80" s="30">
        <f>E76*2%</f>
        <v>0.32</v>
      </c>
    </row>
    <row r="81" spans="3:5" x14ac:dyDescent="0.25">
      <c r="C81" s="113" t="s">
        <v>200</v>
      </c>
      <c r="D81" s="6" t="s">
        <v>235</v>
      </c>
      <c r="E81" s="14">
        <f>E72*E79+E73*E80</f>
        <v>11600</v>
      </c>
    </row>
    <row r="82" spans="3:5" x14ac:dyDescent="0.25">
      <c r="C82" s="113" t="s">
        <v>203</v>
      </c>
      <c r="D82" s="6" t="s">
        <v>236</v>
      </c>
      <c r="E82" s="29">
        <f>E72*E79*0.0382</f>
        <v>137.51999999999998</v>
      </c>
    </row>
    <row r="83" spans="3:5" x14ac:dyDescent="0.25">
      <c r="C83" s="113" t="s">
        <v>204</v>
      </c>
      <c r="D83" s="6" t="s">
        <v>205</v>
      </c>
      <c r="E83" s="29">
        <f>E82+E81</f>
        <v>11737.52</v>
      </c>
    </row>
    <row r="84" spans="3:5" x14ac:dyDescent="0.25">
      <c r="C84" s="62"/>
      <c r="D84" s="62"/>
      <c r="E84" s="29"/>
    </row>
    <row r="85" spans="3:5" x14ac:dyDescent="0.25">
      <c r="C85" s="31" t="s">
        <v>314</v>
      </c>
      <c r="D85" s="62"/>
      <c r="E85" s="29"/>
    </row>
    <row r="86" spans="3:5" x14ac:dyDescent="0.25">
      <c r="C86" s="31" t="s">
        <v>224</v>
      </c>
      <c r="D86" s="62"/>
      <c r="E86" s="29"/>
    </row>
    <row r="87" spans="3:5" x14ac:dyDescent="0.25">
      <c r="C87" s="1" t="s">
        <v>315</v>
      </c>
      <c r="D87" s="62"/>
      <c r="E87" s="29"/>
    </row>
    <row r="88" spans="3:5" x14ac:dyDescent="0.25">
      <c r="C88" s="62" t="s">
        <v>316</v>
      </c>
      <c r="D88" s="62"/>
      <c r="E88" s="29"/>
    </row>
    <row r="89" spans="3:5" x14ac:dyDescent="0.25">
      <c r="C89" s="62" t="s">
        <v>317</v>
      </c>
      <c r="D89" s="62"/>
      <c r="E89" s="29"/>
    </row>
    <row r="90" spans="3:5" x14ac:dyDescent="0.25">
      <c r="C90" s="63" t="s">
        <v>319</v>
      </c>
      <c r="D90" s="62"/>
      <c r="E90" s="29"/>
    </row>
    <row r="91" spans="3:5" x14ac:dyDescent="0.25">
      <c r="C91" s="62" t="s">
        <v>165</v>
      </c>
      <c r="D91" s="62" t="s">
        <v>245</v>
      </c>
      <c r="E91" s="29" t="s">
        <v>14</v>
      </c>
    </row>
    <row r="92" spans="3:5" x14ac:dyDescent="0.25">
      <c r="C92" s="6" t="s">
        <v>107</v>
      </c>
      <c r="D92" s="92" t="s">
        <v>537</v>
      </c>
      <c r="E92" s="1">
        <v>10000</v>
      </c>
    </row>
    <row r="93" spans="3:5" x14ac:dyDescent="0.25">
      <c r="C93" s="6" t="s">
        <v>177</v>
      </c>
      <c r="D93" s="6" t="s">
        <v>178</v>
      </c>
      <c r="E93" s="1">
        <v>31</v>
      </c>
    </row>
    <row r="94" spans="3:5" x14ac:dyDescent="0.25">
      <c r="C94" s="6" t="s">
        <v>99</v>
      </c>
      <c r="D94" s="6" t="s">
        <v>179</v>
      </c>
      <c r="E94" s="46">
        <v>0.9</v>
      </c>
    </row>
    <row r="95" spans="3:5" x14ac:dyDescent="0.25">
      <c r="C95" s="6" t="s">
        <v>196</v>
      </c>
      <c r="D95" s="6" t="s">
        <v>197</v>
      </c>
      <c r="E95" s="30">
        <f>E93*2%</f>
        <v>0.62</v>
      </c>
    </row>
    <row r="96" spans="3:5" x14ac:dyDescent="0.25">
      <c r="C96" s="6" t="s">
        <v>198</v>
      </c>
      <c r="D96" s="6" t="s">
        <v>199</v>
      </c>
      <c r="E96" s="30">
        <f>E95*E94</f>
        <v>0.55800000000000005</v>
      </c>
    </row>
    <row r="97" spans="3:6" x14ac:dyDescent="0.25">
      <c r="C97" s="6" t="s">
        <v>318</v>
      </c>
      <c r="D97" s="6" t="s">
        <v>320</v>
      </c>
      <c r="E97" s="30">
        <v>0.1</v>
      </c>
    </row>
    <row r="98" spans="3:6" x14ac:dyDescent="0.25">
      <c r="C98" s="6" t="s">
        <v>321</v>
      </c>
      <c r="D98" s="6" t="s">
        <v>322</v>
      </c>
      <c r="E98" s="30">
        <f>E97+E96</f>
        <v>0.65800000000000003</v>
      </c>
      <c r="F98" s="1" t="s">
        <v>323</v>
      </c>
    </row>
    <row r="99" spans="3:6" x14ac:dyDescent="0.25">
      <c r="C99" s="6" t="s">
        <v>200</v>
      </c>
      <c r="D99" s="6" t="s">
        <v>201</v>
      </c>
      <c r="E99" s="14">
        <f>E98*E92</f>
        <v>6580</v>
      </c>
    </row>
    <row r="100" spans="3:6" x14ac:dyDescent="0.25">
      <c r="C100" s="6" t="s">
        <v>203</v>
      </c>
      <c r="D100" s="6" t="s">
        <v>202</v>
      </c>
      <c r="E100" s="29">
        <f>E99*0.0382</f>
        <v>251.35599999999999</v>
      </c>
    </row>
    <row r="101" spans="3:6" x14ac:dyDescent="0.25">
      <c r="C101" s="6" t="s">
        <v>204</v>
      </c>
      <c r="D101" s="6" t="s">
        <v>205</v>
      </c>
      <c r="E101" s="29">
        <f>E100+E99</f>
        <v>6831.3559999999998</v>
      </c>
    </row>
    <row r="102" spans="3:6" x14ac:dyDescent="0.25">
      <c r="C102" s="62"/>
      <c r="D102" s="62"/>
      <c r="E102" s="29"/>
    </row>
    <row r="103" spans="3:6" x14ac:dyDescent="0.25">
      <c r="C103" s="63" t="s">
        <v>324</v>
      </c>
      <c r="D103" s="62"/>
      <c r="E103" s="29"/>
    </row>
    <row r="104" spans="3:6" x14ac:dyDescent="0.25">
      <c r="C104" s="62" t="s">
        <v>165</v>
      </c>
      <c r="D104" s="62" t="s">
        <v>245</v>
      </c>
      <c r="E104" s="29" t="s">
        <v>14</v>
      </c>
    </row>
    <row r="105" spans="3:6" x14ac:dyDescent="0.25">
      <c r="C105" s="6" t="s">
        <v>107</v>
      </c>
      <c r="D105" s="92" t="s">
        <v>537</v>
      </c>
      <c r="E105" s="1">
        <v>10000</v>
      </c>
    </row>
    <row r="106" spans="3:6" x14ac:dyDescent="0.25">
      <c r="C106" s="6" t="s">
        <v>177</v>
      </c>
      <c r="D106" s="6" t="s">
        <v>178</v>
      </c>
      <c r="E106" s="1">
        <v>31</v>
      </c>
    </row>
    <row r="107" spans="3:6" x14ac:dyDescent="0.25">
      <c r="C107" s="6" t="s">
        <v>99</v>
      </c>
      <c r="D107" s="6" t="s">
        <v>179</v>
      </c>
      <c r="E107" s="46">
        <v>0.9</v>
      </c>
    </row>
    <row r="108" spans="3:6" x14ac:dyDescent="0.25">
      <c r="C108" s="6" t="s">
        <v>196</v>
      </c>
      <c r="D108" s="6" t="s">
        <v>197</v>
      </c>
      <c r="E108" s="30">
        <f>E106*2%</f>
        <v>0.62</v>
      </c>
    </row>
    <row r="109" spans="3:6" x14ac:dyDescent="0.25">
      <c r="C109" s="6" t="s">
        <v>198</v>
      </c>
      <c r="D109" s="6" t="s">
        <v>199</v>
      </c>
      <c r="E109" s="30">
        <f>E108*E107</f>
        <v>0.55800000000000005</v>
      </c>
    </row>
    <row r="110" spans="3:6" x14ac:dyDescent="0.25">
      <c r="C110" s="6" t="s">
        <v>200</v>
      </c>
      <c r="D110" s="6" t="s">
        <v>201</v>
      </c>
      <c r="E110" s="14">
        <f>E109*E105</f>
        <v>5580.0000000000009</v>
      </c>
    </row>
    <row r="111" spans="3:6" x14ac:dyDescent="0.25">
      <c r="C111" s="6" t="s">
        <v>203</v>
      </c>
      <c r="D111" s="6" t="s">
        <v>202</v>
      </c>
      <c r="E111" s="29">
        <f>E110*0.0382</f>
        <v>213.15600000000003</v>
      </c>
    </row>
    <row r="112" spans="3:6" x14ac:dyDescent="0.25">
      <c r="C112" s="6" t="s">
        <v>325</v>
      </c>
      <c r="D112" s="6" t="s">
        <v>326</v>
      </c>
      <c r="E112" s="29">
        <v>1500</v>
      </c>
    </row>
    <row r="113" spans="3:6" x14ac:dyDescent="0.25">
      <c r="C113" s="6" t="s">
        <v>204</v>
      </c>
      <c r="D113" s="6" t="s">
        <v>327</v>
      </c>
      <c r="E113" s="29">
        <f>E112+E111+E110</f>
        <v>7293.1560000000009</v>
      </c>
    </row>
    <row r="114" spans="3:6" x14ac:dyDescent="0.25">
      <c r="C114" s="6" t="s">
        <v>328</v>
      </c>
      <c r="D114" s="6" t="s">
        <v>329</v>
      </c>
      <c r="E114" s="30">
        <f>(E110+E112)/E105</f>
        <v>0.70800000000000007</v>
      </c>
      <c r="F114" s="1" t="s">
        <v>330</v>
      </c>
    </row>
    <row r="115" spans="3:6" x14ac:dyDescent="0.25">
      <c r="C115" s="6" t="s">
        <v>331</v>
      </c>
      <c r="D115" s="6" t="s">
        <v>332</v>
      </c>
      <c r="E115" s="29">
        <f>E105*70%*1.0382</f>
        <v>7267.4</v>
      </c>
      <c r="F115" s="1" t="s">
        <v>333</v>
      </c>
    </row>
    <row r="116" spans="3:6" x14ac:dyDescent="0.25">
      <c r="C116" s="62"/>
      <c r="D116" s="62"/>
      <c r="E116" s="29"/>
    </row>
    <row r="117" spans="3:6" x14ac:dyDescent="0.25">
      <c r="C117" s="63" t="s">
        <v>592</v>
      </c>
      <c r="D117" s="62"/>
      <c r="E117" s="29"/>
    </row>
    <row r="118" spans="3:6" x14ac:dyDescent="0.25">
      <c r="C118" s="62" t="s">
        <v>165</v>
      </c>
      <c r="D118" s="62" t="s">
        <v>245</v>
      </c>
      <c r="E118" s="29" t="s">
        <v>14</v>
      </c>
    </row>
    <row r="119" spans="3:6" x14ac:dyDescent="0.25">
      <c r="C119" s="6" t="s">
        <v>107</v>
      </c>
      <c r="D119" s="92" t="s">
        <v>537</v>
      </c>
      <c r="E119" s="1">
        <v>10000</v>
      </c>
    </row>
    <row r="120" spans="3:6" x14ac:dyDescent="0.25">
      <c r="C120" s="6" t="s">
        <v>177</v>
      </c>
      <c r="D120" s="6" t="s">
        <v>178</v>
      </c>
      <c r="E120" s="1">
        <v>31</v>
      </c>
    </row>
    <row r="121" spans="3:6" x14ac:dyDescent="0.25">
      <c r="C121" s="6" t="s">
        <v>99</v>
      </c>
      <c r="D121" s="6" t="s">
        <v>179</v>
      </c>
      <c r="E121" s="46">
        <v>0.9</v>
      </c>
    </row>
    <row r="122" spans="3:6" x14ac:dyDescent="0.25">
      <c r="C122" s="6" t="s">
        <v>196</v>
      </c>
      <c r="D122" s="6" t="s">
        <v>197</v>
      </c>
      <c r="E122" s="30">
        <f>E120*2%</f>
        <v>0.62</v>
      </c>
    </row>
    <row r="123" spans="3:6" x14ac:dyDescent="0.25">
      <c r="C123" s="6" t="s">
        <v>198</v>
      </c>
      <c r="D123" s="6" t="s">
        <v>199</v>
      </c>
      <c r="E123" s="65">
        <f>E122*E121</f>
        <v>0.55800000000000005</v>
      </c>
    </row>
    <row r="124" spans="3:6" x14ac:dyDescent="0.25">
      <c r="C124" s="6" t="s">
        <v>200</v>
      </c>
      <c r="D124" s="6" t="s">
        <v>201</v>
      </c>
      <c r="E124" s="14">
        <f>E123*E119</f>
        <v>5580.0000000000009</v>
      </c>
    </row>
    <row r="125" spans="3:6" x14ac:dyDescent="0.25">
      <c r="C125" s="6" t="s">
        <v>203</v>
      </c>
      <c r="D125" s="6" t="s">
        <v>202</v>
      </c>
      <c r="E125" s="29">
        <f>E124*0.0382</f>
        <v>213.15600000000003</v>
      </c>
    </row>
    <row r="126" spans="3:6" x14ac:dyDescent="0.25">
      <c r="C126" s="6" t="s">
        <v>334</v>
      </c>
      <c r="D126" s="6" t="s">
        <v>326</v>
      </c>
      <c r="E126" s="29">
        <v>20000</v>
      </c>
    </row>
    <row r="127" spans="3:6" x14ac:dyDescent="0.25">
      <c r="C127" s="6" t="s">
        <v>335</v>
      </c>
      <c r="D127" s="6" t="s">
        <v>336</v>
      </c>
      <c r="E127" s="39">
        <v>0.3</v>
      </c>
    </row>
    <row r="128" spans="3:6" x14ac:dyDescent="0.25">
      <c r="C128" s="6" t="s">
        <v>338</v>
      </c>
      <c r="D128" s="6" t="s">
        <v>339</v>
      </c>
      <c r="E128" s="14">
        <f>E126*E127</f>
        <v>6000</v>
      </c>
    </row>
    <row r="129" spans="2:6" x14ac:dyDescent="0.25">
      <c r="C129" s="6" t="s">
        <v>340</v>
      </c>
      <c r="D129" s="6" t="s">
        <v>337</v>
      </c>
      <c r="E129" s="29">
        <f>E128+E125+E124</f>
        <v>11793.156000000001</v>
      </c>
    </row>
    <row r="130" spans="2:6" x14ac:dyDescent="0.25">
      <c r="C130" s="6" t="s">
        <v>328</v>
      </c>
      <c r="D130" s="6" t="s">
        <v>341</v>
      </c>
      <c r="E130" s="30">
        <f>(E124+E128)/E126</f>
        <v>0.57899999999999996</v>
      </c>
      <c r="F130" s="1" t="s">
        <v>342</v>
      </c>
    </row>
    <row r="131" spans="2:6" x14ac:dyDescent="0.25">
      <c r="C131" s="62"/>
      <c r="D131" s="62"/>
      <c r="E131" s="29"/>
      <c r="F131" s="1" t="s">
        <v>343</v>
      </c>
    </row>
    <row r="132" spans="2:6" x14ac:dyDescent="0.25">
      <c r="C132" s="63" t="s">
        <v>521</v>
      </c>
      <c r="D132" s="62"/>
      <c r="E132" s="29"/>
    </row>
    <row r="133" spans="2:6" x14ac:dyDescent="0.25">
      <c r="C133" s="63" t="s">
        <v>593</v>
      </c>
      <c r="D133" s="62"/>
      <c r="E133" s="29"/>
    </row>
    <row r="135" spans="2:6" x14ac:dyDescent="0.25">
      <c r="B135" s="15">
        <v>4</v>
      </c>
      <c r="C135" s="15" t="s">
        <v>187</v>
      </c>
    </row>
    <row r="136" spans="2:6" x14ac:dyDescent="0.25">
      <c r="C136" s="1" t="s">
        <v>188</v>
      </c>
    </row>
    <row r="137" spans="2:6" ht="30" customHeight="1" x14ac:dyDescent="0.25">
      <c r="C137" s="1" t="s">
        <v>190</v>
      </c>
      <c r="D137" s="122" t="s">
        <v>548</v>
      </c>
    </row>
    <row r="138" spans="2:6" x14ac:dyDescent="0.25">
      <c r="C138" s="1" t="s">
        <v>146</v>
      </c>
      <c r="D138" s="122"/>
    </row>
    <row r="139" spans="2:6" x14ac:dyDescent="0.25">
      <c r="C139" s="1" t="s">
        <v>193</v>
      </c>
      <c r="D139" s="122"/>
      <c r="E139" s="101">
        <v>45008</v>
      </c>
    </row>
    <row r="140" spans="2:6" x14ac:dyDescent="0.25">
      <c r="C140" s="1" t="s">
        <v>192</v>
      </c>
      <c r="D140" s="122"/>
    </row>
    <row r="141" spans="2:6" x14ac:dyDescent="0.25">
      <c r="C141" s="1" t="s">
        <v>189</v>
      </c>
      <c r="D141" s="122"/>
    </row>
    <row r="142" spans="2:6" x14ac:dyDescent="0.25">
      <c r="C142" s="1" t="s">
        <v>20</v>
      </c>
      <c r="D142" s="122"/>
    </row>
    <row r="143" spans="2:6" x14ac:dyDescent="0.25">
      <c r="C143" s="1" t="s">
        <v>53</v>
      </c>
      <c r="D143" s="122"/>
    </row>
    <row r="144" spans="2:6" x14ac:dyDescent="0.25">
      <c r="C144" s="1" t="s">
        <v>194</v>
      </c>
      <c r="D144" s="122"/>
    </row>
    <row r="146" spans="3:7" x14ac:dyDescent="0.25">
      <c r="C146" s="56" t="s">
        <v>238</v>
      </c>
    </row>
    <row r="147" spans="3:7" x14ac:dyDescent="0.25">
      <c r="C147" s="31" t="s">
        <v>269</v>
      </c>
    </row>
    <row r="148" spans="3:7" x14ac:dyDescent="0.25">
      <c r="C148" s="1" t="s">
        <v>239</v>
      </c>
    </row>
    <row r="149" spans="3:7" x14ac:dyDescent="0.25">
      <c r="C149" s="1" t="s">
        <v>240</v>
      </c>
    </row>
    <row r="150" spans="3:7" x14ac:dyDescent="0.25">
      <c r="C150" s="1" t="s">
        <v>241</v>
      </c>
    </row>
    <row r="151" spans="3:7" x14ac:dyDescent="0.25">
      <c r="C151" s="1" t="s">
        <v>242</v>
      </c>
    </row>
    <row r="152" spans="3:7" x14ac:dyDescent="0.25">
      <c r="C152" s="1" t="s">
        <v>243</v>
      </c>
    </row>
    <row r="154" spans="3:7" x14ac:dyDescent="0.25">
      <c r="C154" s="31" t="s">
        <v>244</v>
      </c>
    </row>
    <row r="155" spans="3:7" x14ac:dyDescent="0.25">
      <c r="C155" s="6" t="s">
        <v>165</v>
      </c>
      <c r="D155" s="6" t="s">
        <v>245</v>
      </c>
      <c r="E155" s="6" t="s">
        <v>250</v>
      </c>
    </row>
    <row r="156" spans="3:7" x14ac:dyDescent="0.25">
      <c r="C156" s="6" t="s">
        <v>182</v>
      </c>
      <c r="D156" s="6" t="s">
        <v>181</v>
      </c>
      <c r="E156" s="6">
        <v>45</v>
      </c>
    </row>
    <row r="157" spans="3:7" x14ac:dyDescent="0.25">
      <c r="C157" s="6" t="s">
        <v>157</v>
      </c>
      <c r="D157" s="6" t="s">
        <v>181</v>
      </c>
      <c r="E157" s="6" t="s">
        <v>159</v>
      </c>
    </row>
    <row r="158" spans="3:7" x14ac:dyDescent="0.25">
      <c r="C158" s="6" t="s">
        <v>252</v>
      </c>
      <c r="D158" s="6" t="s">
        <v>253</v>
      </c>
      <c r="E158" s="6" t="s">
        <v>153</v>
      </c>
    </row>
    <row r="159" spans="3:7" ht="45" x14ac:dyDescent="0.25">
      <c r="C159" s="6" t="s">
        <v>246</v>
      </c>
      <c r="D159" s="7" t="s">
        <v>247</v>
      </c>
      <c r="E159" s="6">
        <v>45</v>
      </c>
    </row>
    <row r="160" spans="3:7" x14ac:dyDescent="0.25">
      <c r="C160" s="6" t="s">
        <v>107</v>
      </c>
      <c r="D160" s="6" t="s">
        <v>181</v>
      </c>
      <c r="E160" s="6">
        <v>10000</v>
      </c>
      <c r="G160" s="1" t="s">
        <v>455</v>
      </c>
    </row>
    <row r="161" spans="3:5" ht="30" x14ac:dyDescent="0.25">
      <c r="C161" s="6" t="s">
        <v>248</v>
      </c>
      <c r="D161" s="7" t="s">
        <v>249</v>
      </c>
      <c r="E161" s="47">
        <f>E160/21.67</f>
        <v>461.46746654360862</v>
      </c>
    </row>
    <row r="162" spans="3:5" ht="30" x14ac:dyDescent="0.25">
      <c r="C162" s="6" t="s">
        <v>251</v>
      </c>
      <c r="D162" s="7" t="s">
        <v>254</v>
      </c>
      <c r="E162" s="48">
        <f>E161*E159</f>
        <v>20766.035994462389</v>
      </c>
    </row>
    <row r="164" spans="3:5" x14ac:dyDescent="0.25">
      <c r="C164" s="26" t="s">
        <v>256</v>
      </c>
    </row>
    <row r="165" spans="3:5" x14ac:dyDescent="0.25">
      <c r="C165" s="31" t="s">
        <v>269</v>
      </c>
    </row>
    <row r="166" spans="3:5" x14ac:dyDescent="0.25">
      <c r="C166" s="1" t="s">
        <v>259</v>
      </c>
    </row>
    <row r="167" spans="3:5" x14ac:dyDescent="0.25">
      <c r="C167" s="1" t="s">
        <v>257</v>
      </c>
    </row>
    <row r="168" spans="3:5" x14ac:dyDescent="0.25">
      <c r="C168" s="49">
        <v>1</v>
      </c>
      <c r="D168" s="49" t="s">
        <v>272</v>
      </c>
    </row>
    <row r="169" spans="3:5" x14ac:dyDescent="0.25">
      <c r="C169" s="49">
        <v>2</v>
      </c>
      <c r="D169" s="49" t="s">
        <v>273</v>
      </c>
    </row>
    <row r="170" spans="3:5" x14ac:dyDescent="0.25">
      <c r="C170" s="49">
        <v>3</v>
      </c>
      <c r="D170" s="49" t="s">
        <v>258</v>
      </c>
    </row>
    <row r="172" spans="3:5" x14ac:dyDescent="0.25">
      <c r="C172" s="49" t="s">
        <v>260</v>
      </c>
      <c r="D172" s="49"/>
      <c r="E172" s="49"/>
    </row>
    <row r="173" spans="3:5" x14ac:dyDescent="0.25">
      <c r="C173" s="49" t="s">
        <v>261</v>
      </c>
      <c r="D173" s="49"/>
      <c r="E173" s="49"/>
    </row>
    <row r="174" spans="3:5" x14ac:dyDescent="0.25">
      <c r="C174" s="49" t="s">
        <v>262</v>
      </c>
      <c r="D174" s="49"/>
      <c r="E174" s="49"/>
    </row>
    <row r="175" spans="3:5" x14ac:dyDescent="0.25">
      <c r="C175" s="49" t="s">
        <v>263</v>
      </c>
      <c r="D175" s="49"/>
      <c r="E175" s="49"/>
    </row>
    <row r="176" spans="3:5" x14ac:dyDescent="0.25">
      <c r="C176" s="49" t="s">
        <v>264</v>
      </c>
      <c r="D176" s="49"/>
      <c r="E176" s="49"/>
    </row>
    <row r="177" spans="3:6" x14ac:dyDescent="0.25">
      <c r="C177" s="50" t="s">
        <v>265</v>
      </c>
      <c r="D177" s="51"/>
      <c r="E177" s="51"/>
    </row>
    <row r="178" spans="3:6" x14ac:dyDescent="0.25">
      <c r="C178" s="51" t="s">
        <v>266</v>
      </c>
      <c r="D178" s="52" t="s">
        <v>267</v>
      </c>
      <c r="E178" s="52" t="s">
        <v>3</v>
      </c>
    </row>
    <row r="179" spans="3:6" x14ac:dyDescent="0.25">
      <c r="C179" s="51">
        <v>1</v>
      </c>
      <c r="D179" s="51">
        <v>0</v>
      </c>
      <c r="E179" s="51">
        <v>0</v>
      </c>
    </row>
    <row r="180" spans="3:6" x14ac:dyDescent="0.25">
      <c r="C180" s="51">
        <v>50</v>
      </c>
      <c r="D180" s="53">
        <v>0.3</v>
      </c>
      <c r="E180" s="53">
        <v>0.3</v>
      </c>
    </row>
    <row r="181" spans="3:6" x14ac:dyDescent="0.25">
      <c r="C181" s="51">
        <v>51</v>
      </c>
      <c r="D181" s="53">
        <v>0.4</v>
      </c>
      <c r="E181" s="53">
        <v>0.4</v>
      </c>
    </row>
    <row r="182" spans="3:6" x14ac:dyDescent="0.25">
      <c r="C182" s="51">
        <v>52</v>
      </c>
      <c r="D182" s="53">
        <v>0.5</v>
      </c>
      <c r="E182" s="53">
        <v>0.5</v>
      </c>
    </row>
    <row r="183" spans="3:6" x14ac:dyDescent="0.25">
      <c r="C183" s="51">
        <v>53</v>
      </c>
      <c r="D183" s="53">
        <v>0.6</v>
      </c>
      <c r="E183" s="53">
        <v>0.6</v>
      </c>
    </row>
    <row r="184" spans="3:6" x14ac:dyDescent="0.25">
      <c r="C184" s="51">
        <v>54</v>
      </c>
      <c r="D184" s="53">
        <v>0.7</v>
      </c>
      <c r="E184" s="53">
        <v>0.7</v>
      </c>
    </row>
    <row r="185" spans="3:6" x14ac:dyDescent="0.25">
      <c r="C185" s="51">
        <v>55</v>
      </c>
      <c r="D185" s="54">
        <f>IF(YEAR('[1]חישוב זכויות פנסיה תקציבית'!D154)&lt;1966,100%,80%)</f>
        <v>1</v>
      </c>
      <c r="E185" s="54">
        <v>0.8</v>
      </c>
    </row>
    <row r="186" spans="3:6" x14ac:dyDescent="0.25">
      <c r="C186" s="51">
        <v>56</v>
      </c>
      <c r="D186" s="54">
        <f>IF(YEAR('[1]חישוב זכויות פנסיה תקציבית'!D154)&lt;1966,100%,90%)</f>
        <v>1</v>
      </c>
      <c r="E186" s="54">
        <v>0.9</v>
      </c>
    </row>
    <row r="187" spans="3:6" x14ac:dyDescent="0.25">
      <c r="C187" s="51">
        <v>57</v>
      </c>
      <c r="D187" s="53">
        <v>1</v>
      </c>
      <c r="E187" s="53">
        <v>1</v>
      </c>
    </row>
    <row r="189" spans="3:6" x14ac:dyDescent="0.25">
      <c r="C189" s="31" t="s">
        <v>270</v>
      </c>
    </row>
    <row r="190" spans="3:6" x14ac:dyDescent="0.25">
      <c r="C190" s="6" t="s">
        <v>165</v>
      </c>
      <c r="D190" s="6" t="s">
        <v>245</v>
      </c>
      <c r="E190" s="6" t="s">
        <v>250</v>
      </c>
    </row>
    <row r="191" spans="3:6" ht="90" x14ac:dyDescent="0.25">
      <c r="C191" s="6" t="s">
        <v>271</v>
      </c>
      <c r="D191" s="7" t="s">
        <v>274</v>
      </c>
      <c r="E191" s="6" t="s">
        <v>275</v>
      </c>
    </row>
    <row r="192" spans="3:6" ht="75" x14ac:dyDescent="0.25">
      <c r="C192" s="6" t="s">
        <v>276</v>
      </c>
      <c r="D192" s="7" t="s">
        <v>277</v>
      </c>
      <c r="E192" s="6">
        <f>31*30*80%</f>
        <v>744</v>
      </c>
      <c r="F192" s="1" t="s">
        <v>278</v>
      </c>
    </row>
    <row r="193" spans="3:6" x14ac:dyDescent="0.25">
      <c r="C193" s="6" t="s">
        <v>279</v>
      </c>
      <c r="D193" s="6" t="s">
        <v>280</v>
      </c>
      <c r="E193" s="6">
        <v>400</v>
      </c>
    </row>
    <row r="194" spans="3:6" x14ac:dyDescent="0.25">
      <c r="C194" s="6" t="s">
        <v>281</v>
      </c>
      <c r="D194" s="7" t="s">
        <v>282</v>
      </c>
      <c r="E194" s="6">
        <f>E192-E193</f>
        <v>344</v>
      </c>
    </row>
    <row r="195" spans="3:6" x14ac:dyDescent="0.25">
      <c r="C195" s="6" t="s">
        <v>283</v>
      </c>
      <c r="D195" s="6" t="s">
        <v>284</v>
      </c>
      <c r="E195" s="55">
        <f>E194/E192</f>
        <v>0.46236559139784944</v>
      </c>
    </row>
    <row r="196" spans="3:6" ht="60" x14ac:dyDescent="0.25">
      <c r="C196" s="6" t="s">
        <v>285</v>
      </c>
      <c r="D196" s="7" t="s">
        <v>286</v>
      </c>
      <c r="E196" s="47">
        <v>6</v>
      </c>
    </row>
    <row r="197" spans="3:6" ht="30" x14ac:dyDescent="0.25">
      <c r="C197" s="6" t="s">
        <v>287</v>
      </c>
      <c r="D197" s="7" t="s">
        <v>288</v>
      </c>
      <c r="E197" s="48">
        <f>E193/30*E196</f>
        <v>80</v>
      </c>
    </row>
    <row r="198" spans="3:6" x14ac:dyDescent="0.25">
      <c r="C198" s="6" t="s">
        <v>292</v>
      </c>
      <c r="D198" s="6" t="s">
        <v>290</v>
      </c>
      <c r="E198" s="6">
        <v>11500</v>
      </c>
      <c r="F198" s="1" t="s">
        <v>289</v>
      </c>
    </row>
    <row r="199" spans="3:6" x14ac:dyDescent="0.25">
      <c r="C199" s="6" t="s">
        <v>248</v>
      </c>
      <c r="D199" s="6" t="s">
        <v>291</v>
      </c>
      <c r="E199" s="6">
        <f>E198/25</f>
        <v>460</v>
      </c>
    </row>
    <row r="200" spans="3:6" ht="45" x14ac:dyDescent="0.25">
      <c r="C200" s="6" t="s">
        <v>293</v>
      </c>
      <c r="D200" s="7" t="s">
        <v>294</v>
      </c>
      <c r="E200" s="40">
        <v>1</v>
      </c>
    </row>
    <row r="201" spans="3:6" x14ac:dyDescent="0.25">
      <c r="C201" s="6" t="s">
        <v>295</v>
      </c>
      <c r="D201" s="6" t="s">
        <v>296</v>
      </c>
      <c r="E201" s="48">
        <f>E200*E197*E199</f>
        <v>36800</v>
      </c>
    </row>
    <row r="202" spans="3:6" x14ac:dyDescent="0.25">
      <c r="C202" s="62"/>
      <c r="D202" s="62"/>
      <c r="E202" s="83"/>
    </row>
    <row r="203" spans="3:6" x14ac:dyDescent="0.25">
      <c r="C203" s="62" t="s">
        <v>456</v>
      </c>
      <c r="D203" s="62"/>
      <c r="E203" s="83"/>
    </row>
    <row r="204" spans="3:6" x14ac:dyDescent="0.25">
      <c r="C204" s="62" t="s">
        <v>463</v>
      </c>
      <c r="D204" s="62"/>
      <c r="E204" s="83"/>
    </row>
    <row r="205" spans="3:6" x14ac:dyDescent="0.25">
      <c r="C205" s="62" t="s">
        <v>464</v>
      </c>
      <c r="D205" s="62"/>
      <c r="E205" s="83"/>
    </row>
    <row r="206" spans="3:6" x14ac:dyDescent="0.25">
      <c r="C206" s="62" t="s">
        <v>465</v>
      </c>
      <c r="D206" s="62"/>
      <c r="E206" s="83"/>
    </row>
    <row r="207" spans="3:6" x14ac:dyDescent="0.25">
      <c r="C207" s="62"/>
      <c r="D207" s="62"/>
      <c r="E207" s="83"/>
    </row>
    <row r="208" spans="3:6" x14ac:dyDescent="0.25">
      <c r="C208" s="31" t="s">
        <v>466</v>
      </c>
    </row>
    <row r="209" spans="3:5" x14ac:dyDescent="0.25">
      <c r="C209" s="6" t="s">
        <v>165</v>
      </c>
      <c r="D209" s="6" t="s">
        <v>245</v>
      </c>
      <c r="E209" s="6" t="s">
        <v>250</v>
      </c>
    </row>
    <row r="210" spans="3:5" ht="90" x14ac:dyDescent="0.25">
      <c r="C210" s="6" t="s">
        <v>271</v>
      </c>
      <c r="D210" s="7" t="s">
        <v>274</v>
      </c>
      <c r="E210" s="6" t="s">
        <v>275</v>
      </c>
    </row>
    <row r="211" spans="3:5" ht="30" x14ac:dyDescent="0.25">
      <c r="C211" s="6" t="s">
        <v>467</v>
      </c>
      <c r="D211" s="7" t="s">
        <v>468</v>
      </c>
      <c r="E211" s="6">
        <v>600</v>
      </c>
    </row>
    <row r="212" spans="3:5" ht="30" x14ac:dyDescent="0.25">
      <c r="C212" s="6" t="s">
        <v>469</v>
      </c>
      <c r="D212" s="7" t="s">
        <v>470</v>
      </c>
      <c r="E212" s="6">
        <v>300</v>
      </c>
    </row>
    <row r="213" spans="3:5" x14ac:dyDescent="0.25">
      <c r="C213" s="6" t="s">
        <v>471</v>
      </c>
      <c r="D213" s="7" t="s">
        <v>472</v>
      </c>
      <c r="E213" s="6">
        <f>E212+E211</f>
        <v>900</v>
      </c>
    </row>
    <row r="214" spans="3:5" x14ac:dyDescent="0.25">
      <c r="C214" s="6" t="s">
        <v>279</v>
      </c>
      <c r="D214" s="6" t="s">
        <v>280</v>
      </c>
      <c r="E214" s="6">
        <v>400</v>
      </c>
    </row>
    <row r="215" spans="3:5" x14ac:dyDescent="0.25">
      <c r="C215" s="6" t="s">
        <v>281</v>
      </c>
      <c r="D215" s="7" t="s">
        <v>282</v>
      </c>
      <c r="E215" s="6">
        <f>E213-E214</f>
        <v>500</v>
      </c>
    </row>
    <row r="216" spans="3:5" x14ac:dyDescent="0.25">
      <c r="C216" s="6" t="s">
        <v>283</v>
      </c>
      <c r="D216" s="6" t="s">
        <v>284</v>
      </c>
      <c r="E216" s="55">
        <f>E215/E213</f>
        <v>0.55555555555555558</v>
      </c>
    </row>
    <row r="217" spans="3:5" ht="60" x14ac:dyDescent="0.25">
      <c r="C217" s="6" t="s">
        <v>285</v>
      </c>
      <c r="D217" s="7" t="s">
        <v>286</v>
      </c>
      <c r="E217" s="47">
        <v>6</v>
      </c>
    </row>
    <row r="218" spans="3:5" x14ac:dyDescent="0.25">
      <c r="C218" s="6" t="s">
        <v>473</v>
      </c>
      <c r="D218" s="7" t="s">
        <v>474</v>
      </c>
      <c r="E218" s="47">
        <v>300</v>
      </c>
    </row>
    <row r="219" spans="3:5" ht="30" x14ac:dyDescent="0.25">
      <c r="C219" s="6" t="s">
        <v>475</v>
      </c>
      <c r="D219" s="7" t="s">
        <v>476</v>
      </c>
      <c r="E219" s="47">
        <f>E218/30*6</f>
        <v>60</v>
      </c>
    </row>
    <row r="220" spans="3:5" x14ac:dyDescent="0.25">
      <c r="C220" s="6" t="s">
        <v>479</v>
      </c>
      <c r="D220" s="6" t="s">
        <v>290</v>
      </c>
      <c r="E220" s="6">
        <v>11500</v>
      </c>
    </row>
    <row r="221" spans="3:5" x14ac:dyDescent="0.25">
      <c r="C221" s="6" t="s">
        <v>481</v>
      </c>
      <c r="D221" s="7" t="s">
        <v>482</v>
      </c>
      <c r="E221" s="47">
        <f>E220/25</f>
        <v>460</v>
      </c>
    </row>
    <row r="222" spans="3:5" x14ac:dyDescent="0.25">
      <c r="C222" s="6" t="s">
        <v>483</v>
      </c>
      <c r="D222" s="7" t="s">
        <v>484</v>
      </c>
      <c r="E222" s="47">
        <f>E221*E219</f>
        <v>27600</v>
      </c>
    </row>
    <row r="223" spans="3:5" ht="30" x14ac:dyDescent="0.25">
      <c r="C223" s="6" t="s">
        <v>477</v>
      </c>
      <c r="D223" s="84" t="s">
        <v>478</v>
      </c>
      <c r="E223" s="48">
        <f>(E214-E218)/30*6</f>
        <v>20</v>
      </c>
    </row>
    <row r="224" spans="3:5" x14ac:dyDescent="0.25">
      <c r="C224" s="6" t="s">
        <v>480</v>
      </c>
      <c r="D224" s="6" t="s">
        <v>290</v>
      </c>
      <c r="E224" s="6">
        <v>25000</v>
      </c>
    </row>
    <row r="225" spans="3:7" x14ac:dyDescent="0.25">
      <c r="C225" s="6" t="s">
        <v>248</v>
      </c>
      <c r="D225" s="6" t="s">
        <v>291</v>
      </c>
      <c r="E225" s="6">
        <f>E224/25</f>
        <v>1000</v>
      </c>
    </row>
    <row r="226" spans="3:7" x14ac:dyDescent="0.25">
      <c r="C226" s="6" t="s">
        <v>485</v>
      </c>
      <c r="D226" s="7" t="s">
        <v>484</v>
      </c>
      <c r="E226" s="48">
        <f>E225*E223</f>
        <v>20000</v>
      </c>
    </row>
    <row r="227" spans="3:7" x14ac:dyDescent="0.25">
      <c r="C227" s="6" t="s">
        <v>486</v>
      </c>
      <c r="D227" s="7" t="s">
        <v>487</v>
      </c>
      <c r="E227" s="48">
        <f>E226+E222</f>
        <v>47600</v>
      </c>
    </row>
    <row r="228" spans="3:7" ht="45" x14ac:dyDescent="0.25">
      <c r="C228" s="6" t="s">
        <v>293</v>
      </c>
      <c r="D228" s="7" t="s">
        <v>294</v>
      </c>
      <c r="E228" s="40">
        <v>1</v>
      </c>
    </row>
    <row r="229" spans="3:7" x14ac:dyDescent="0.25">
      <c r="C229" s="6" t="s">
        <v>295</v>
      </c>
      <c r="D229" s="6" t="s">
        <v>296</v>
      </c>
      <c r="E229" s="48">
        <f>E227*E228</f>
        <v>47600</v>
      </c>
    </row>
    <row r="230" spans="3:7" x14ac:dyDescent="0.25">
      <c r="C230" s="62"/>
      <c r="D230" s="62"/>
      <c r="E230" s="83"/>
    </row>
    <row r="232" spans="3:7" x14ac:dyDescent="0.25">
      <c r="C232" s="26" t="s">
        <v>297</v>
      </c>
    </row>
    <row r="233" spans="3:7" x14ac:dyDescent="0.25">
      <c r="C233" s="31" t="s">
        <v>269</v>
      </c>
    </row>
    <row r="234" spans="3:7" x14ac:dyDescent="0.25">
      <c r="C234" s="49" t="s">
        <v>298</v>
      </c>
    </row>
    <row r="235" spans="3:7" x14ac:dyDescent="0.25">
      <c r="C235" s="49" t="s">
        <v>299</v>
      </c>
    </row>
    <row r="236" spans="3:7" x14ac:dyDescent="0.25">
      <c r="C236" s="49" t="s">
        <v>300</v>
      </c>
      <c r="D236" s="49" t="s">
        <v>301</v>
      </c>
    </row>
    <row r="237" spans="3:7" x14ac:dyDescent="0.25">
      <c r="C237" s="49" t="s">
        <v>302</v>
      </c>
      <c r="D237" s="49"/>
    </row>
    <row r="239" spans="3:7" x14ac:dyDescent="0.25">
      <c r="C239" s="49" t="s">
        <v>213</v>
      </c>
      <c r="D239" s="49"/>
      <c r="E239" s="49"/>
      <c r="F239" s="49"/>
      <c r="G239" s="49"/>
    </row>
    <row r="240" spans="3:7" x14ac:dyDescent="0.25">
      <c r="C240" s="49" t="s">
        <v>303</v>
      </c>
      <c r="D240" s="49"/>
      <c r="E240" s="49"/>
      <c r="F240" s="49"/>
      <c r="G240" s="49"/>
    </row>
    <row r="241" spans="3:7" x14ac:dyDescent="0.25">
      <c r="C241" s="49" t="s">
        <v>304</v>
      </c>
      <c r="D241" s="49" t="s">
        <v>305</v>
      </c>
      <c r="E241" s="49">
        <f>38*2</f>
        <v>76</v>
      </c>
      <c r="F241" s="49" t="s">
        <v>306</v>
      </c>
      <c r="G241" s="49"/>
    </row>
    <row r="242" spans="3:7" x14ac:dyDescent="0.25">
      <c r="C242" s="49" t="s">
        <v>307</v>
      </c>
      <c r="D242" s="49"/>
      <c r="E242" s="59">
        <v>0.76</v>
      </c>
      <c r="F242" s="49"/>
      <c r="G242" s="49"/>
    </row>
    <row r="243" spans="3:7" x14ac:dyDescent="0.25">
      <c r="C243" s="49"/>
      <c r="D243" s="49"/>
      <c r="E243" s="59">
        <v>0.7</v>
      </c>
      <c r="F243" s="49"/>
      <c r="G243" s="49"/>
    </row>
    <row r="244" spans="3:7" x14ac:dyDescent="0.25">
      <c r="C244" s="49"/>
      <c r="D244" s="49"/>
      <c r="E244" s="59">
        <f>E242-E243</f>
        <v>6.0000000000000053E-2</v>
      </c>
      <c r="F244" s="49" t="s">
        <v>308</v>
      </c>
      <c r="G244" s="49"/>
    </row>
    <row r="245" spans="3:7" x14ac:dyDescent="0.25">
      <c r="C245" s="49"/>
      <c r="D245" s="49"/>
      <c r="E245" s="60">
        <f>E244/2%</f>
        <v>3.0000000000000027</v>
      </c>
      <c r="F245" s="49" t="s">
        <v>309</v>
      </c>
      <c r="G245" s="49"/>
    </row>
    <row r="246" spans="3:7" x14ac:dyDescent="0.25">
      <c r="C246" s="49"/>
      <c r="D246" s="49" t="s">
        <v>310</v>
      </c>
      <c r="E246" s="61">
        <v>12000</v>
      </c>
      <c r="F246" s="49" t="s">
        <v>311</v>
      </c>
      <c r="G246" s="49"/>
    </row>
    <row r="247" spans="3:7" x14ac:dyDescent="0.25">
      <c r="C247" s="49"/>
      <c r="D247" s="49" t="s">
        <v>312</v>
      </c>
      <c r="E247" s="49">
        <f>E246*E245</f>
        <v>36000.000000000029</v>
      </c>
      <c r="F247" s="49"/>
      <c r="G247" s="49"/>
    </row>
    <row r="249" spans="3:7" x14ac:dyDescent="0.25">
      <c r="C249" s="1" t="s">
        <v>313</v>
      </c>
    </row>
    <row r="250" spans="3:7" x14ac:dyDescent="0.25">
      <c r="C250" s="1" t="s">
        <v>344</v>
      </c>
    </row>
    <row r="252" spans="3:7" x14ac:dyDescent="0.25">
      <c r="C252" s="31" t="s">
        <v>488</v>
      </c>
    </row>
    <row r="253" spans="3:7" x14ac:dyDescent="0.25">
      <c r="C253" s="6" t="s">
        <v>165</v>
      </c>
      <c r="D253" s="6" t="s">
        <v>245</v>
      </c>
      <c r="E253" s="6" t="s">
        <v>250</v>
      </c>
    </row>
    <row r="254" spans="3:7" ht="30" x14ac:dyDescent="0.25">
      <c r="C254" s="6" t="s">
        <v>345</v>
      </c>
      <c r="D254" s="7" t="s">
        <v>346</v>
      </c>
      <c r="E254" s="6" t="s">
        <v>275</v>
      </c>
    </row>
    <row r="255" spans="3:7" ht="45" x14ac:dyDescent="0.25">
      <c r="C255" s="6" t="s">
        <v>347</v>
      </c>
      <c r="D255" s="7" t="s">
        <v>348</v>
      </c>
      <c r="E255" s="6">
        <v>3</v>
      </c>
    </row>
    <row r="256" spans="3:7" x14ac:dyDescent="0.25">
      <c r="C256" s="6" t="s">
        <v>107</v>
      </c>
      <c r="D256" s="6" t="s">
        <v>349</v>
      </c>
      <c r="E256" s="6">
        <v>11500</v>
      </c>
    </row>
    <row r="257" spans="3:13" x14ac:dyDescent="0.25">
      <c r="C257" s="6" t="s">
        <v>312</v>
      </c>
      <c r="D257" s="7" t="s">
        <v>350</v>
      </c>
      <c r="E257" s="6">
        <f>E256*E255</f>
        <v>34500</v>
      </c>
    </row>
    <row r="259" spans="3:13" x14ac:dyDescent="0.25">
      <c r="C259" s="26" t="s">
        <v>430</v>
      </c>
    </row>
    <row r="260" spans="3:13" x14ac:dyDescent="0.25">
      <c r="C260" s="31" t="s">
        <v>269</v>
      </c>
    </row>
    <row r="261" spans="3:13" x14ac:dyDescent="0.25">
      <c r="C261" s="1" t="s">
        <v>351</v>
      </c>
    </row>
    <row r="262" spans="3:13" x14ac:dyDescent="0.25">
      <c r="C262" s="44" t="s">
        <v>352</v>
      </c>
      <c r="F262" s="49"/>
      <c r="G262" s="49"/>
      <c r="H262" s="49"/>
      <c r="I262" s="49"/>
      <c r="J262" s="49"/>
      <c r="K262" s="49"/>
      <c r="L262" s="49"/>
      <c r="M262" s="49"/>
    </row>
    <row r="263" spans="3:13" x14ac:dyDescent="0.25">
      <c r="C263" s="1" t="s">
        <v>353</v>
      </c>
      <c r="F263" s="49"/>
      <c r="G263" s="49"/>
      <c r="H263" s="49"/>
      <c r="I263" s="49"/>
      <c r="J263" s="49"/>
      <c r="K263" s="49"/>
      <c r="L263" s="49"/>
      <c r="M263" s="49"/>
    </row>
    <row r="264" spans="3:13" x14ac:dyDescent="0.25">
      <c r="C264" s="1" t="s">
        <v>354</v>
      </c>
      <c r="F264" s="49"/>
      <c r="G264" s="49"/>
      <c r="H264" s="49"/>
      <c r="I264" s="49"/>
      <c r="J264" s="49"/>
      <c r="K264" s="49"/>
      <c r="L264" s="49"/>
      <c r="M264" s="49"/>
    </row>
    <row r="265" spans="3:13" x14ac:dyDescent="0.25">
      <c r="C265" s="1" t="s">
        <v>355</v>
      </c>
      <c r="F265" s="49"/>
      <c r="G265" s="49"/>
      <c r="H265" s="49"/>
      <c r="I265" s="49"/>
      <c r="J265" s="49"/>
      <c r="K265" s="49"/>
      <c r="L265" s="49"/>
      <c r="M265" s="49"/>
    </row>
    <row r="266" spans="3:13" x14ac:dyDescent="0.25">
      <c r="C266" s="25" t="s">
        <v>360</v>
      </c>
      <c r="E266" s="33"/>
      <c r="F266" s="66"/>
      <c r="G266" s="49"/>
      <c r="H266" s="49"/>
      <c r="I266" s="66"/>
      <c r="J266" s="49"/>
      <c r="K266" s="49"/>
      <c r="L266" s="49"/>
      <c r="M266" s="49"/>
    </row>
    <row r="267" spans="3:13" x14ac:dyDescent="0.25">
      <c r="C267" s="25" t="s">
        <v>361</v>
      </c>
      <c r="E267" s="33"/>
      <c r="F267" s="66"/>
      <c r="G267" s="49"/>
      <c r="H267" s="49" t="s">
        <v>356</v>
      </c>
      <c r="I267" s="49"/>
      <c r="J267" s="49"/>
      <c r="L267" s="49"/>
      <c r="M267" s="49"/>
    </row>
    <row r="268" spans="3:13" x14ac:dyDescent="0.25">
      <c r="C268" s="25" t="s">
        <v>357</v>
      </c>
      <c r="E268" s="1" t="s">
        <v>362</v>
      </c>
      <c r="F268" s="49"/>
      <c r="G268" s="49"/>
      <c r="H268" s="49"/>
      <c r="I268" s="49"/>
      <c r="J268" s="49"/>
      <c r="K268" s="49"/>
      <c r="L268" s="49"/>
      <c r="M268" s="49"/>
    </row>
    <row r="269" spans="3:13" x14ac:dyDescent="0.25">
      <c r="C269" s="1" t="s">
        <v>358</v>
      </c>
      <c r="F269" s="49"/>
      <c r="G269" s="49"/>
      <c r="H269" s="49"/>
      <c r="I269" s="49"/>
      <c r="J269" s="49"/>
      <c r="K269" s="49"/>
      <c r="L269" s="49"/>
      <c r="M269" s="49"/>
    </row>
    <row r="270" spans="3:13" x14ac:dyDescent="0.25">
      <c r="C270" s="33" t="s">
        <v>359</v>
      </c>
      <c r="F270" s="49"/>
      <c r="G270" s="49"/>
      <c r="H270" s="49"/>
      <c r="I270" s="49"/>
      <c r="J270" s="49"/>
      <c r="K270" s="49"/>
      <c r="L270" s="49"/>
      <c r="M270" s="49"/>
    </row>
    <row r="271" spans="3:13" x14ac:dyDescent="0.25">
      <c r="C271" s="1" t="s">
        <v>367</v>
      </c>
      <c r="D271" s="1" t="s">
        <v>396</v>
      </c>
    </row>
    <row r="272" spans="3:13" x14ac:dyDescent="0.25">
      <c r="C272" s="1" t="s">
        <v>394</v>
      </c>
      <c r="D272" s="1" t="s">
        <v>403</v>
      </c>
    </row>
    <row r="273" spans="3:4" x14ac:dyDescent="0.25">
      <c r="C273" s="1" t="s">
        <v>393</v>
      </c>
      <c r="D273" s="1" t="s">
        <v>395</v>
      </c>
    </row>
    <row r="274" spans="3:4" x14ac:dyDescent="0.25">
      <c r="C274" s="1" t="s">
        <v>213</v>
      </c>
    </row>
    <row r="275" spans="3:4" x14ac:dyDescent="0.25">
      <c r="C275" s="1" t="s">
        <v>368</v>
      </c>
    </row>
    <row r="276" spans="3:4" x14ac:dyDescent="0.25">
      <c r="C276" s="1" t="s">
        <v>404</v>
      </c>
    </row>
    <row r="277" spans="3:4" x14ac:dyDescent="0.25">
      <c r="C277" s="1" t="s">
        <v>369</v>
      </c>
      <c r="D277" s="1" t="s">
        <v>397</v>
      </c>
    </row>
    <row r="278" spans="3:4" x14ac:dyDescent="0.25">
      <c r="C278" s="1" t="s">
        <v>372</v>
      </c>
      <c r="D278" s="1" t="s">
        <v>371</v>
      </c>
    </row>
    <row r="279" spans="3:4" x14ac:dyDescent="0.25">
      <c r="C279" s="1" t="s">
        <v>398</v>
      </c>
    </row>
    <row r="280" spans="3:4" x14ac:dyDescent="0.25">
      <c r="C280" s="1" t="s">
        <v>380</v>
      </c>
      <c r="D280" s="1" t="s">
        <v>381</v>
      </c>
    </row>
    <row r="281" spans="3:4" x14ac:dyDescent="0.25">
      <c r="C281" s="1" t="s">
        <v>399</v>
      </c>
    </row>
    <row r="282" spans="3:4" x14ac:dyDescent="0.25">
      <c r="C282" s="1" t="s">
        <v>382</v>
      </c>
      <c r="D282" s="1" t="s">
        <v>383</v>
      </c>
    </row>
    <row r="284" spans="3:4" x14ac:dyDescent="0.25">
      <c r="C284" s="1" t="s">
        <v>385</v>
      </c>
    </row>
    <row r="285" spans="3:4" x14ac:dyDescent="0.25">
      <c r="C285" s="1" t="s">
        <v>388</v>
      </c>
    </row>
    <row r="286" spans="3:4" x14ac:dyDescent="0.25">
      <c r="C286" s="1" t="s">
        <v>386</v>
      </c>
    </row>
    <row r="287" spans="3:4" x14ac:dyDescent="0.25">
      <c r="C287" s="1" t="s">
        <v>387</v>
      </c>
    </row>
    <row r="288" spans="3:4" x14ac:dyDescent="0.25">
      <c r="C288" s="1" t="s">
        <v>389</v>
      </c>
    </row>
    <row r="290" spans="3:4" x14ac:dyDescent="0.25">
      <c r="C290" s="1" t="s">
        <v>390</v>
      </c>
    </row>
    <row r="291" spans="3:4" x14ac:dyDescent="0.25">
      <c r="C291" s="1" t="s">
        <v>391</v>
      </c>
    </row>
    <row r="292" spans="3:4" x14ac:dyDescent="0.25">
      <c r="C292" s="1" t="s">
        <v>392</v>
      </c>
    </row>
    <row r="293" spans="3:4" x14ac:dyDescent="0.25">
      <c r="C293" s="44" t="s">
        <v>400</v>
      </c>
    </row>
    <row r="294" spans="3:4" x14ac:dyDescent="0.25">
      <c r="C294" s="1" t="s">
        <v>401</v>
      </c>
      <c r="D294" s="1">
        <v>10000</v>
      </c>
    </row>
    <row r="295" spans="3:4" x14ac:dyDescent="0.25">
      <c r="C295" s="1" t="s">
        <v>363</v>
      </c>
      <c r="D295" s="1">
        <v>12000</v>
      </c>
    </row>
    <row r="296" spans="3:4" x14ac:dyDescent="0.25">
      <c r="C296" s="1" t="s">
        <v>405</v>
      </c>
      <c r="D296" s="1">
        <f>12*449</f>
        <v>5388</v>
      </c>
    </row>
    <row r="297" spans="3:4" x14ac:dyDescent="0.25">
      <c r="C297" s="1" t="s">
        <v>39</v>
      </c>
      <c r="D297" s="1">
        <v>2237</v>
      </c>
    </row>
    <row r="298" spans="3:4" x14ac:dyDescent="0.25">
      <c r="C298" s="1" t="s">
        <v>81</v>
      </c>
      <c r="D298" s="1" t="s">
        <v>411</v>
      </c>
    </row>
    <row r="299" spans="3:4" x14ac:dyDescent="0.25">
      <c r="C299" s="1" t="s">
        <v>402</v>
      </c>
      <c r="D299" s="1">
        <v>52</v>
      </c>
    </row>
    <row r="300" spans="3:4" x14ac:dyDescent="0.25">
      <c r="C300" s="1" t="s">
        <v>406</v>
      </c>
      <c r="D300" s="1">
        <v>25</v>
      </c>
    </row>
    <row r="301" spans="3:4" x14ac:dyDescent="0.25">
      <c r="C301" s="1" t="s">
        <v>410</v>
      </c>
      <c r="D301" s="39">
        <v>1</v>
      </c>
    </row>
    <row r="302" spans="3:4" x14ac:dyDescent="0.25">
      <c r="C302" s="1" t="s">
        <v>408</v>
      </c>
      <c r="D302" s="64">
        <f>D300*2%*D301</f>
        <v>0.5</v>
      </c>
    </row>
    <row r="303" spans="3:4" x14ac:dyDescent="0.25">
      <c r="C303" s="1" t="s">
        <v>407</v>
      </c>
      <c r="D303" s="14">
        <f>D302*(D294+1/12*D296+1/12*D297)</f>
        <v>5317.708333333333</v>
      </c>
    </row>
    <row r="304" spans="3:4" x14ac:dyDescent="0.25">
      <c r="C304" s="1" t="s">
        <v>409</v>
      </c>
      <c r="D304" s="64">
        <f>D302+(60-D299)*2%*D301</f>
        <v>0.66</v>
      </c>
    </row>
    <row r="305" spans="3:5" x14ac:dyDescent="0.25">
      <c r="C305" s="1" t="s">
        <v>369</v>
      </c>
      <c r="D305" s="1">
        <f>D304*(D295+1/12*D296+1/12*D297)</f>
        <v>8339.375</v>
      </c>
    </row>
    <row r="306" spans="3:5" x14ac:dyDescent="0.25">
      <c r="C306" s="1" t="s">
        <v>370</v>
      </c>
      <c r="D306" s="14">
        <f>D305-D303</f>
        <v>3021.666666666667</v>
      </c>
    </row>
    <row r="307" spans="3:5" x14ac:dyDescent="0.25">
      <c r="C307" s="1" t="s">
        <v>412</v>
      </c>
      <c r="D307" s="1">
        <f>D305*0.6-D303*0.6</f>
        <v>1813.0000000000005</v>
      </c>
    </row>
    <row r="308" spans="3:5" x14ac:dyDescent="0.25">
      <c r="C308" s="1" t="s">
        <v>413</v>
      </c>
      <c r="D308" s="77">
        <v>7.3090000000000002</v>
      </c>
    </row>
    <row r="309" spans="3:5" x14ac:dyDescent="0.25">
      <c r="C309" s="1" t="s">
        <v>414</v>
      </c>
      <c r="D309" s="77">
        <v>2.093</v>
      </c>
    </row>
    <row r="310" spans="3:5" x14ac:dyDescent="0.25">
      <c r="C310" s="1" t="s">
        <v>415</v>
      </c>
      <c r="D310" s="14">
        <f>D308*12*D306</f>
        <v>265024.34000000003</v>
      </c>
    </row>
    <row r="311" spans="3:5" x14ac:dyDescent="0.25">
      <c r="C311" s="1" t="s">
        <v>416</v>
      </c>
      <c r="D311" s="14">
        <f>D309*D307*12</f>
        <v>45535.308000000012</v>
      </c>
    </row>
    <row r="312" spans="3:5" x14ac:dyDescent="0.25">
      <c r="C312" s="1" t="s">
        <v>382</v>
      </c>
      <c r="D312" s="14">
        <f>D311+D310</f>
        <v>310559.64800000004</v>
      </c>
    </row>
    <row r="314" spans="3:5" x14ac:dyDescent="0.25">
      <c r="C314" s="1" t="s">
        <v>417</v>
      </c>
      <c r="D314" s="14">
        <f>(D294+1/12*D296+1/12*D297)*12</f>
        <v>127625</v>
      </c>
    </row>
    <row r="315" spans="3:5" x14ac:dyDescent="0.25">
      <c r="C315" s="1" t="s">
        <v>418</v>
      </c>
      <c r="D315" s="14">
        <f>(D294+1/12*D296+1/12*D297)*0.5*24</f>
        <v>127625</v>
      </c>
    </row>
    <row r="317" spans="3:5" x14ac:dyDescent="0.25">
      <c r="C317" s="1" t="s">
        <v>419</v>
      </c>
    </row>
    <row r="319" spans="3:5" x14ac:dyDescent="0.25">
      <c r="C319" s="31" t="s">
        <v>420</v>
      </c>
    </row>
    <row r="320" spans="3:5" x14ac:dyDescent="0.25">
      <c r="C320" s="6" t="s">
        <v>165</v>
      </c>
      <c r="D320" s="6" t="s">
        <v>245</v>
      </c>
      <c r="E320" s="6" t="s">
        <v>250</v>
      </c>
    </row>
    <row r="321" spans="3:7" ht="30" x14ac:dyDescent="0.25">
      <c r="C321" s="6" t="s">
        <v>421</v>
      </c>
      <c r="D321" s="7" t="s">
        <v>422</v>
      </c>
      <c r="E321" s="6" t="s">
        <v>275</v>
      </c>
    </row>
    <row r="322" spans="3:7" x14ac:dyDescent="0.25">
      <c r="C322" s="6" t="s">
        <v>423</v>
      </c>
      <c r="D322" s="7" t="s">
        <v>426</v>
      </c>
      <c r="E322" s="6"/>
    </row>
    <row r="323" spans="3:7" x14ac:dyDescent="0.25">
      <c r="C323" s="6" t="s">
        <v>424</v>
      </c>
      <c r="D323" s="7" t="s">
        <v>426</v>
      </c>
      <c r="E323" s="6"/>
    </row>
    <row r="324" spans="3:7" x14ac:dyDescent="0.25">
      <c r="C324" s="6" t="s">
        <v>425</v>
      </c>
      <c r="D324" s="7" t="s">
        <v>426</v>
      </c>
      <c r="E324" s="6"/>
    </row>
    <row r="325" spans="3:7" x14ac:dyDescent="0.25">
      <c r="C325" s="6" t="s">
        <v>427</v>
      </c>
      <c r="D325" s="7" t="s">
        <v>428</v>
      </c>
      <c r="E325" s="6"/>
    </row>
    <row r="327" spans="3:7" x14ac:dyDescent="0.25">
      <c r="C327" s="78" t="s">
        <v>429</v>
      </c>
      <c r="D327" s="78"/>
      <c r="E327" s="78"/>
      <c r="F327" s="78"/>
      <c r="G327" s="78"/>
    </row>
    <row r="328" spans="3:7" s="33" customFormat="1" x14ac:dyDescent="0.25"/>
    <row r="329" spans="3:7" s="33" customFormat="1" x14ac:dyDescent="0.25">
      <c r="C329" s="107" t="s">
        <v>594</v>
      </c>
    </row>
    <row r="330" spans="3:7" s="33" customFormat="1" x14ac:dyDescent="0.25">
      <c r="C330" s="33" t="s">
        <v>595</v>
      </c>
    </row>
    <row r="331" spans="3:7" s="33" customFormat="1" x14ac:dyDescent="0.25">
      <c r="C331" s="33" t="s">
        <v>596</v>
      </c>
    </row>
    <row r="332" spans="3:7" s="33" customFormat="1" x14ac:dyDescent="0.25">
      <c r="C332" s="33" t="s">
        <v>174</v>
      </c>
      <c r="D332" s="33" t="s">
        <v>598</v>
      </c>
      <c r="E332" s="33" t="s">
        <v>60</v>
      </c>
      <c r="F332" s="33" t="s">
        <v>61</v>
      </c>
      <c r="G332" s="33" t="s">
        <v>62</v>
      </c>
    </row>
    <row r="333" spans="3:7" s="33" customFormat="1" x14ac:dyDescent="0.25">
      <c r="C333" s="33" t="s">
        <v>113</v>
      </c>
      <c r="D333" s="108">
        <v>9500</v>
      </c>
      <c r="E333" s="109">
        <v>34700</v>
      </c>
      <c r="F333" s="109">
        <v>39447</v>
      </c>
      <c r="G333" s="108">
        <f>(F333-E333)/365</f>
        <v>13.005479452054795</v>
      </c>
    </row>
    <row r="334" spans="3:7" s="33" customFormat="1" x14ac:dyDescent="0.25">
      <c r="C334" s="33" t="s">
        <v>597</v>
      </c>
      <c r="D334" s="108">
        <v>18000</v>
      </c>
      <c r="E334" s="109">
        <v>39448</v>
      </c>
      <c r="F334" s="109">
        <v>45291</v>
      </c>
      <c r="G334" s="108">
        <f>(F334-E334)/365</f>
        <v>16.008219178082193</v>
      </c>
    </row>
    <row r="335" spans="3:7" s="33" customFormat="1" x14ac:dyDescent="0.25">
      <c r="G335" s="110">
        <f>SUM(G333:G334)</f>
        <v>29.013698630136986</v>
      </c>
    </row>
    <row r="336" spans="3:7" s="33" customFormat="1" x14ac:dyDescent="0.25">
      <c r="C336" s="33" t="s">
        <v>599</v>
      </c>
      <c r="D336" s="110">
        <f>D333*G333/G335+D334*G334/G335</f>
        <v>14189.848914069877</v>
      </c>
      <c r="E336" s="33" t="s">
        <v>600</v>
      </c>
    </row>
    <row r="337" spans="3:5" s="33" customFormat="1" x14ac:dyDescent="0.25">
      <c r="C337" s="31" t="s">
        <v>601</v>
      </c>
      <c r="D337" s="1"/>
      <c r="E337" s="1"/>
    </row>
    <row r="338" spans="3:5" s="33" customFormat="1" x14ac:dyDescent="0.25">
      <c r="C338" s="6" t="s">
        <v>165</v>
      </c>
      <c r="D338" s="6" t="s">
        <v>245</v>
      </c>
      <c r="E338" s="6" t="s">
        <v>250</v>
      </c>
    </row>
    <row r="339" spans="3:5" s="33" customFormat="1" ht="30" x14ac:dyDescent="0.25">
      <c r="C339" s="6" t="s">
        <v>421</v>
      </c>
      <c r="D339" s="7" t="s">
        <v>422</v>
      </c>
      <c r="E339" s="6" t="s">
        <v>275</v>
      </c>
    </row>
    <row r="340" spans="3:5" s="33" customFormat="1" ht="45" x14ac:dyDescent="0.25">
      <c r="C340" s="6" t="s">
        <v>602</v>
      </c>
      <c r="D340" s="7" t="s">
        <v>603</v>
      </c>
      <c r="E340" s="112">
        <v>14189.85</v>
      </c>
    </row>
    <row r="341" spans="3:5" s="33" customFormat="1" x14ac:dyDescent="0.25">
      <c r="C341" s="6" t="s">
        <v>423</v>
      </c>
      <c r="D341" s="7" t="s">
        <v>426</v>
      </c>
      <c r="E341" s="6">
        <f>E340*12</f>
        <v>170278.2</v>
      </c>
    </row>
    <row r="342" spans="3:5" s="33" customFormat="1" x14ac:dyDescent="0.25">
      <c r="C342" s="6" t="s">
        <v>424</v>
      </c>
      <c r="D342" s="7" t="s">
        <v>426</v>
      </c>
      <c r="E342" s="6">
        <f>E340*24/2</f>
        <v>170278.2</v>
      </c>
    </row>
    <row r="343" spans="3:5" s="33" customFormat="1" x14ac:dyDescent="0.25">
      <c r="C343" s="6" t="s">
        <v>425</v>
      </c>
      <c r="D343" s="7" t="s">
        <v>426</v>
      </c>
      <c r="E343" s="6"/>
    </row>
    <row r="344" spans="3:5" x14ac:dyDescent="0.25">
      <c r="C344" s="6" t="s">
        <v>427</v>
      </c>
      <c r="D344" s="7" t="s">
        <v>428</v>
      </c>
      <c r="E344" s="6"/>
    </row>
    <row r="345" spans="3:5" x14ac:dyDescent="0.25">
      <c r="C345" s="62"/>
      <c r="D345" s="111"/>
      <c r="E345" s="62"/>
    </row>
    <row r="346" spans="3:5" x14ac:dyDescent="0.25">
      <c r="C346" s="62"/>
      <c r="D346" s="111"/>
      <c r="E346" s="62"/>
    </row>
    <row r="347" spans="3:5" x14ac:dyDescent="0.25">
      <c r="C347" s="26" t="s">
        <v>431</v>
      </c>
    </row>
    <row r="348" spans="3:5" x14ac:dyDescent="0.25">
      <c r="C348" s="1" t="s">
        <v>432</v>
      </c>
    </row>
    <row r="349" spans="3:5" x14ac:dyDescent="0.25">
      <c r="C349" s="1" t="s">
        <v>433</v>
      </c>
    </row>
    <row r="351" spans="3:5" x14ac:dyDescent="0.25">
      <c r="C351" s="31" t="s">
        <v>434</v>
      </c>
    </row>
    <row r="352" spans="3:5" x14ac:dyDescent="0.25">
      <c r="C352" s="6" t="s">
        <v>165</v>
      </c>
      <c r="D352" s="6" t="s">
        <v>245</v>
      </c>
      <c r="E352" s="6" t="s">
        <v>250</v>
      </c>
    </row>
    <row r="353" spans="3:15" x14ac:dyDescent="0.25">
      <c r="C353" s="6" t="s">
        <v>435</v>
      </c>
      <c r="D353" s="7" t="s">
        <v>436</v>
      </c>
      <c r="E353" s="6" t="s">
        <v>145</v>
      </c>
    </row>
    <row r="354" spans="3:15" x14ac:dyDescent="0.25">
      <c r="C354" s="6" t="s">
        <v>437</v>
      </c>
      <c r="D354" s="7" t="s">
        <v>438</v>
      </c>
      <c r="E354" s="6">
        <v>8000</v>
      </c>
    </row>
    <row r="355" spans="3:15" x14ac:dyDescent="0.25">
      <c r="C355" s="6" t="s">
        <v>439</v>
      </c>
      <c r="D355" s="7" t="s">
        <v>440</v>
      </c>
      <c r="E355" s="6">
        <f>E354*1</f>
        <v>8000</v>
      </c>
    </row>
    <row r="357" spans="3:15" x14ac:dyDescent="0.25">
      <c r="C357" s="26" t="s">
        <v>441</v>
      </c>
    </row>
    <row r="358" spans="3:15" x14ac:dyDescent="0.25">
      <c r="C358" s="49" t="s">
        <v>442</v>
      </c>
      <c r="D358" s="79"/>
      <c r="E358" s="49"/>
      <c r="F358" s="49"/>
      <c r="G358" s="49"/>
      <c r="H358" s="49"/>
      <c r="I358" s="49"/>
      <c r="J358" s="49"/>
      <c r="K358" s="49"/>
      <c r="L358" s="49"/>
      <c r="M358" s="49"/>
      <c r="N358" s="49"/>
      <c r="O358" s="49"/>
    </row>
    <row r="359" spans="3:15" x14ac:dyDescent="0.25">
      <c r="C359" s="49" t="s">
        <v>443</v>
      </c>
      <c r="D359" s="79"/>
      <c r="E359" s="49"/>
      <c r="F359" s="49"/>
      <c r="G359" s="49"/>
      <c r="H359" s="49"/>
      <c r="I359" s="49"/>
      <c r="J359" s="49"/>
      <c r="K359" s="49"/>
      <c r="L359" s="49"/>
      <c r="M359" s="49"/>
      <c r="N359" s="49"/>
      <c r="O359" s="49"/>
    </row>
    <row r="360" spans="3:15" x14ac:dyDescent="0.25">
      <c r="C360" s="49" t="s">
        <v>444</v>
      </c>
      <c r="D360" s="79"/>
      <c r="E360" s="82" t="s">
        <v>445</v>
      </c>
      <c r="F360" s="49"/>
      <c r="G360" s="49"/>
      <c r="H360" s="49"/>
      <c r="I360" s="49"/>
      <c r="J360" s="49"/>
      <c r="K360" s="49"/>
      <c r="L360" s="49"/>
      <c r="M360" s="49"/>
      <c r="N360" s="49"/>
      <c r="O360" s="49"/>
    </row>
    <row r="361" spans="3:15" x14ac:dyDescent="0.25">
      <c r="C361" s="49" t="s">
        <v>446</v>
      </c>
      <c r="D361" s="49">
        <v>1603</v>
      </c>
      <c r="E361" s="49" t="s">
        <v>454</v>
      </c>
      <c r="F361" s="49"/>
      <c r="G361" s="49"/>
      <c r="H361" s="49"/>
      <c r="I361" s="49"/>
      <c r="J361" s="49"/>
      <c r="K361" s="49"/>
      <c r="L361" s="49"/>
      <c r="M361" s="49"/>
      <c r="N361" s="49"/>
      <c r="O361" s="49"/>
    </row>
    <row r="362" spans="3:15" x14ac:dyDescent="0.25">
      <c r="C362" s="49" t="s">
        <v>43</v>
      </c>
      <c r="D362" s="49">
        <v>2237</v>
      </c>
      <c r="E362" s="49" t="s">
        <v>454</v>
      </c>
      <c r="F362" s="49"/>
      <c r="G362" s="49"/>
      <c r="H362" s="49"/>
      <c r="I362" s="49"/>
      <c r="J362" s="49"/>
      <c r="K362" s="49"/>
      <c r="L362" s="49"/>
      <c r="M362" s="49"/>
      <c r="N362" s="49"/>
      <c r="O362" s="49"/>
    </row>
    <row r="363" spans="3:15" x14ac:dyDescent="0.25">
      <c r="C363" s="49" t="s">
        <v>447</v>
      </c>
      <c r="D363" s="79"/>
      <c r="E363" s="49"/>
      <c r="F363" s="49"/>
      <c r="G363" s="49"/>
      <c r="H363" s="49"/>
      <c r="I363" s="49"/>
      <c r="J363" s="49"/>
      <c r="K363" s="49"/>
      <c r="L363" s="49"/>
      <c r="M363" s="49"/>
      <c r="N363" s="49"/>
      <c r="O363" s="49"/>
    </row>
    <row r="364" spans="3:15" x14ac:dyDescent="0.25">
      <c r="C364" s="49" t="s">
        <v>448</v>
      </c>
      <c r="D364" s="79"/>
      <c r="E364" s="49"/>
      <c r="F364" s="49"/>
      <c r="G364" s="49"/>
      <c r="H364" s="49"/>
      <c r="I364" s="49"/>
      <c r="J364" s="49"/>
      <c r="K364" s="49"/>
      <c r="L364" s="49"/>
      <c r="M364" s="49"/>
      <c r="N364" s="49"/>
      <c r="O364" s="49"/>
    </row>
    <row r="365" spans="3:15" x14ac:dyDescent="0.25">
      <c r="C365" s="49" t="s">
        <v>449</v>
      </c>
      <c r="D365" s="79"/>
      <c r="E365" s="49"/>
      <c r="F365" s="49"/>
      <c r="G365" s="49"/>
      <c r="H365" s="49"/>
      <c r="I365" s="49"/>
      <c r="J365" s="49"/>
      <c r="K365" s="49"/>
      <c r="L365" s="49"/>
      <c r="M365" s="49"/>
      <c r="N365" s="49"/>
      <c r="O365" s="49"/>
    </row>
    <row r="366" spans="3:15" x14ac:dyDescent="0.25">
      <c r="C366" s="49" t="s">
        <v>570</v>
      </c>
      <c r="D366" s="79"/>
      <c r="E366" s="49"/>
      <c r="F366" s="49"/>
      <c r="G366" s="49"/>
      <c r="H366" s="49"/>
      <c r="I366" s="49"/>
      <c r="J366" s="49"/>
      <c r="K366" s="49"/>
      <c r="L366" s="49"/>
      <c r="M366" s="49"/>
      <c r="N366" s="49"/>
      <c r="O366" s="49"/>
    </row>
    <row r="367" spans="3:15" x14ac:dyDescent="0.25">
      <c r="C367" s="49" t="s">
        <v>450</v>
      </c>
      <c r="D367" s="49">
        <v>2237</v>
      </c>
      <c r="E367" s="80" t="s">
        <v>567</v>
      </c>
      <c r="F367" s="49"/>
      <c r="G367" s="49"/>
      <c r="H367" s="49"/>
      <c r="I367" s="49"/>
      <c r="J367" s="49"/>
      <c r="K367" s="49"/>
      <c r="L367" s="49"/>
      <c r="M367" s="49"/>
      <c r="N367" s="49"/>
      <c r="O367" s="49"/>
    </row>
    <row r="368" spans="3:15" x14ac:dyDescent="0.25">
      <c r="C368" s="49" t="s">
        <v>568</v>
      </c>
      <c r="D368" s="49">
        <v>2237</v>
      </c>
      <c r="E368" s="49" t="s">
        <v>451</v>
      </c>
      <c r="F368" s="49"/>
      <c r="G368" s="49"/>
      <c r="H368" s="49"/>
      <c r="I368" s="49"/>
      <c r="J368" s="49"/>
      <c r="K368" s="49"/>
      <c r="L368" s="49"/>
      <c r="M368" s="49"/>
      <c r="N368" s="49"/>
      <c r="O368" s="49"/>
    </row>
    <row r="369" spans="3:15" x14ac:dyDescent="0.25">
      <c r="C369" s="49"/>
      <c r="D369" s="79"/>
      <c r="E369" s="49"/>
      <c r="F369" s="49"/>
      <c r="G369" s="49"/>
      <c r="H369" s="49"/>
      <c r="I369" s="49"/>
      <c r="J369" s="49"/>
      <c r="K369" s="49"/>
      <c r="L369" s="49"/>
      <c r="M369" s="49"/>
      <c r="N369" s="49"/>
      <c r="O369" s="49"/>
    </row>
    <row r="370" spans="3:15" x14ac:dyDescent="0.25">
      <c r="C370" s="49" t="s">
        <v>452</v>
      </c>
      <c r="D370" s="79"/>
      <c r="E370" s="49"/>
      <c r="F370" s="49"/>
      <c r="G370" s="49"/>
      <c r="H370" s="81" t="s">
        <v>453</v>
      </c>
      <c r="I370" s="49"/>
      <c r="J370" s="49"/>
      <c r="K370" s="49"/>
      <c r="L370" s="49"/>
      <c r="M370" s="49"/>
      <c r="N370" s="49"/>
      <c r="O370" s="49"/>
    </row>
    <row r="371" spans="3:15" x14ac:dyDescent="0.25">
      <c r="C371" s="49"/>
      <c r="D371" s="79"/>
      <c r="E371" s="49"/>
      <c r="F371" s="49"/>
      <c r="G371" s="49"/>
      <c r="H371" s="49"/>
      <c r="I371" s="49"/>
      <c r="J371" s="49"/>
      <c r="K371" s="49"/>
      <c r="L371" s="49"/>
      <c r="M371" s="49"/>
      <c r="N371" s="49"/>
      <c r="O371" s="49"/>
    </row>
    <row r="372" spans="3:15" x14ac:dyDescent="0.25">
      <c r="C372" s="31" t="s">
        <v>489</v>
      </c>
    </row>
    <row r="373" spans="3:15" x14ac:dyDescent="0.25">
      <c r="C373" s="6" t="s">
        <v>165</v>
      </c>
      <c r="D373" s="6" t="s">
        <v>245</v>
      </c>
      <c r="E373" s="6" t="s">
        <v>250</v>
      </c>
    </row>
    <row r="374" spans="3:15" x14ac:dyDescent="0.25">
      <c r="C374" s="6" t="s">
        <v>37</v>
      </c>
      <c r="D374" s="7" t="s">
        <v>167</v>
      </c>
      <c r="E374" s="6" t="s">
        <v>56</v>
      </c>
    </row>
    <row r="375" spans="3:15" x14ac:dyDescent="0.25">
      <c r="C375" s="6" t="s">
        <v>490</v>
      </c>
      <c r="D375" s="7" t="s">
        <v>492</v>
      </c>
      <c r="E375" s="40">
        <v>0.8</v>
      </c>
    </row>
    <row r="376" spans="3:15" x14ac:dyDescent="0.25">
      <c r="C376" s="6" t="s">
        <v>491</v>
      </c>
      <c r="D376" s="7" t="s">
        <v>492</v>
      </c>
      <c r="E376" s="40">
        <v>1</v>
      </c>
    </row>
    <row r="377" spans="3:15" ht="105" x14ac:dyDescent="0.25">
      <c r="C377" s="6" t="s">
        <v>493</v>
      </c>
      <c r="D377" s="7" t="s">
        <v>494</v>
      </c>
      <c r="E377" s="6">
        <v>0</v>
      </c>
      <c r="F377" s="1" t="s">
        <v>496</v>
      </c>
    </row>
    <row r="378" spans="3:15" ht="45" x14ac:dyDescent="0.25">
      <c r="C378" s="6" t="s">
        <v>495</v>
      </c>
      <c r="D378" s="7" t="s">
        <v>572</v>
      </c>
      <c r="E378" s="6">
        <f>2237*E375</f>
        <v>1789.6000000000001</v>
      </c>
      <c r="F378" s="1" t="s">
        <v>496</v>
      </c>
    </row>
    <row r="381" spans="3:15" x14ac:dyDescent="0.25">
      <c r="C381" s="26" t="s">
        <v>497</v>
      </c>
    </row>
    <row r="382" spans="3:15" x14ac:dyDescent="0.25">
      <c r="C382" s="49" t="s">
        <v>573</v>
      </c>
    </row>
    <row r="383" spans="3:15" x14ac:dyDescent="0.25">
      <c r="C383" s="49" t="s">
        <v>498</v>
      </c>
    </row>
    <row r="384" spans="3:15" x14ac:dyDescent="0.25">
      <c r="C384" s="49" t="s">
        <v>504</v>
      </c>
    </row>
    <row r="387" spans="3:5" x14ac:dyDescent="0.25">
      <c r="C387" s="31" t="s">
        <v>499</v>
      </c>
    </row>
    <row r="388" spans="3:5" x14ac:dyDescent="0.25">
      <c r="C388" s="6" t="s">
        <v>165</v>
      </c>
      <c r="D388" s="6" t="s">
        <v>245</v>
      </c>
      <c r="E388" s="6" t="s">
        <v>250</v>
      </c>
    </row>
    <row r="389" spans="3:5" x14ac:dyDescent="0.25">
      <c r="C389" s="6" t="s">
        <v>55</v>
      </c>
      <c r="D389" s="7" t="s">
        <v>167</v>
      </c>
      <c r="E389" s="6" t="s">
        <v>56</v>
      </c>
    </row>
    <row r="390" spans="3:5" x14ac:dyDescent="0.25">
      <c r="C390" s="6" t="s">
        <v>491</v>
      </c>
      <c r="D390" s="7" t="s">
        <v>492</v>
      </c>
      <c r="E390" s="40">
        <v>1</v>
      </c>
    </row>
    <row r="391" spans="3:5" ht="120" x14ac:dyDescent="0.25">
      <c r="C391" s="6" t="s">
        <v>500</v>
      </c>
      <c r="D391" s="7" t="s">
        <v>505</v>
      </c>
      <c r="E391" s="6">
        <v>0</v>
      </c>
    </row>
    <row r="392" spans="3:5" ht="75" x14ac:dyDescent="0.25">
      <c r="C392" s="7" t="s">
        <v>506</v>
      </c>
      <c r="D392" s="7"/>
      <c r="E392" s="6"/>
    </row>
    <row r="394" spans="3:5" x14ac:dyDescent="0.25">
      <c r="C394" s="56" t="s">
        <v>507</v>
      </c>
    </row>
    <row r="395" spans="3:5" x14ac:dyDescent="0.25">
      <c r="C395" s="31" t="s">
        <v>269</v>
      </c>
    </row>
    <row r="396" spans="3:5" x14ac:dyDescent="0.25">
      <c r="C396" s="1" t="s">
        <v>508</v>
      </c>
    </row>
    <row r="397" spans="3:5" x14ac:dyDescent="0.25">
      <c r="C397" s="1" t="s">
        <v>509</v>
      </c>
    </row>
    <row r="399" spans="3:5" x14ac:dyDescent="0.25">
      <c r="C399" s="31" t="s">
        <v>510</v>
      </c>
    </row>
    <row r="400" spans="3:5" x14ac:dyDescent="0.25">
      <c r="C400" s="6" t="s">
        <v>165</v>
      </c>
      <c r="D400" s="6" t="s">
        <v>245</v>
      </c>
      <c r="E400" s="6" t="s">
        <v>250</v>
      </c>
    </row>
    <row r="401" spans="2:5" x14ac:dyDescent="0.25">
      <c r="C401" s="6" t="s">
        <v>511</v>
      </c>
      <c r="D401" s="7" t="s">
        <v>492</v>
      </c>
      <c r="E401" s="6">
        <v>2</v>
      </c>
    </row>
    <row r="402" spans="2:5" ht="30" x14ac:dyDescent="0.25">
      <c r="C402" s="6" t="s">
        <v>410</v>
      </c>
      <c r="D402" s="7" t="s">
        <v>516</v>
      </c>
      <c r="E402" s="40">
        <v>0.25</v>
      </c>
    </row>
    <row r="403" spans="2:5" x14ac:dyDescent="0.25">
      <c r="C403" s="6" t="s">
        <v>512</v>
      </c>
      <c r="D403" s="7" t="s">
        <v>513</v>
      </c>
      <c r="E403" s="47">
        <v>12000</v>
      </c>
    </row>
    <row r="404" spans="2:5" x14ac:dyDescent="0.25">
      <c r="C404" s="6" t="s">
        <v>514</v>
      </c>
      <c r="D404" s="7" t="s">
        <v>515</v>
      </c>
      <c r="E404" s="47">
        <f>E403*E401*E402</f>
        <v>6000</v>
      </c>
    </row>
    <row r="407" spans="2:5" x14ac:dyDescent="0.25">
      <c r="B407" s="15"/>
      <c r="C407" s="85" t="s">
        <v>517</v>
      </c>
      <c r="E407" s="1" t="s">
        <v>14</v>
      </c>
    </row>
    <row r="408" spans="2:5" x14ac:dyDescent="0.25">
      <c r="B408" s="15"/>
      <c r="C408" s="86" t="s">
        <v>518</v>
      </c>
    </row>
    <row r="409" spans="2:5" x14ac:dyDescent="0.25">
      <c r="B409" s="15"/>
      <c r="C409" s="86"/>
    </row>
    <row r="410" spans="2:5" x14ac:dyDescent="0.25">
      <c r="C410" s="6" t="s">
        <v>107</v>
      </c>
      <c r="D410" s="6" t="s">
        <v>195</v>
      </c>
      <c r="E410" s="1">
        <v>10000</v>
      </c>
    </row>
    <row r="411" spans="2:5" x14ac:dyDescent="0.25">
      <c r="C411" s="6" t="s">
        <v>519</v>
      </c>
      <c r="D411" s="6" t="s">
        <v>520</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7"/>
      <c r="B1" s="67"/>
      <c r="C1" s="67"/>
      <c r="D1" s="67"/>
      <c r="E1" s="67"/>
    </row>
    <row r="2" spans="1:5" ht="15.75" x14ac:dyDescent="0.25">
      <c r="A2" s="68" t="s">
        <v>266</v>
      </c>
      <c r="B2" s="69" t="s">
        <v>384</v>
      </c>
      <c r="C2" s="69" t="s">
        <v>373</v>
      </c>
      <c r="D2" s="69" t="s">
        <v>374</v>
      </c>
      <c r="E2" s="69" t="s">
        <v>375</v>
      </c>
    </row>
    <row r="3" spans="1:5" ht="15.75" x14ac:dyDescent="0.25">
      <c r="A3" s="69"/>
      <c r="B3" s="70">
        <v>1</v>
      </c>
      <c r="C3" s="70" t="s">
        <v>376</v>
      </c>
      <c r="D3" s="70" t="s">
        <v>377</v>
      </c>
      <c r="E3" s="70" t="s">
        <v>378</v>
      </c>
    </row>
    <row r="4" spans="1:5" x14ac:dyDescent="0.2">
      <c r="A4" s="71">
        <v>18</v>
      </c>
      <c r="B4" s="72">
        <v>1.3169999999999999</v>
      </c>
      <c r="C4" s="72">
        <v>0.37</v>
      </c>
      <c r="D4" s="72">
        <v>1.4910000000000001</v>
      </c>
      <c r="E4" s="72">
        <v>0.107</v>
      </c>
    </row>
    <row r="5" spans="1:5" x14ac:dyDescent="0.2">
      <c r="A5" s="71">
        <v>18.5</v>
      </c>
      <c r="B5" s="72">
        <v>1.35</v>
      </c>
      <c r="C5" s="72">
        <v>0.379</v>
      </c>
      <c r="D5" s="72">
        <v>1.2549999999999999</v>
      </c>
      <c r="E5" s="72">
        <v>0.11</v>
      </c>
    </row>
    <row r="6" spans="1:5" x14ac:dyDescent="0.2">
      <c r="A6" s="71">
        <v>19</v>
      </c>
      <c r="B6" s="72">
        <v>1.3839999999999999</v>
      </c>
      <c r="C6" s="72">
        <v>0.38800000000000001</v>
      </c>
      <c r="D6" s="72">
        <v>1.0189999999999999</v>
      </c>
      <c r="E6" s="72">
        <v>0.113</v>
      </c>
    </row>
    <row r="7" spans="1:5" x14ac:dyDescent="0.2">
      <c r="A7" s="71">
        <v>19.5</v>
      </c>
      <c r="B7" s="72">
        <v>1.419</v>
      </c>
      <c r="C7" s="72">
        <v>0.39800000000000002</v>
      </c>
      <c r="D7" s="72">
        <v>1.0449999999999999</v>
      </c>
      <c r="E7" s="72">
        <v>0.11600000000000001</v>
      </c>
    </row>
    <row r="8" spans="1:5" x14ac:dyDescent="0.2">
      <c r="A8" s="71">
        <v>20</v>
      </c>
      <c r="B8" s="72">
        <v>1.454</v>
      </c>
      <c r="C8" s="72">
        <v>0.40799999999999997</v>
      </c>
      <c r="D8" s="72">
        <v>1.07</v>
      </c>
      <c r="E8" s="72">
        <v>0.11799999999999999</v>
      </c>
    </row>
    <row r="9" spans="1:5" x14ac:dyDescent="0.2">
      <c r="A9" s="71">
        <v>20.5</v>
      </c>
      <c r="B9" s="72">
        <v>1.4910000000000001</v>
      </c>
      <c r="C9" s="72">
        <v>0.41799999999999998</v>
      </c>
      <c r="D9" s="72">
        <v>1.097</v>
      </c>
      <c r="E9" s="72">
        <v>0.121</v>
      </c>
    </row>
    <row r="10" spans="1:5" x14ac:dyDescent="0.2">
      <c r="A10" s="71">
        <v>21</v>
      </c>
      <c r="B10" s="72">
        <v>1.528</v>
      </c>
      <c r="C10" s="72">
        <v>0.42899999999999999</v>
      </c>
      <c r="D10" s="72">
        <v>1.1240000000000001</v>
      </c>
      <c r="E10" s="72">
        <v>0.124</v>
      </c>
    </row>
    <row r="11" spans="1:5" x14ac:dyDescent="0.2">
      <c r="A11" s="71">
        <v>21.5</v>
      </c>
      <c r="B11" s="72">
        <v>1.5669999999999999</v>
      </c>
      <c r="C11" s="72">
        <v>0.44</v>
      </c>
      <c r="D11" s="72">
        <v>1.153</v>
      </c>
      <c r="E11" s="72">
        <v>0.128</v>
      </c>
    </row>
    <row r="12" spans="1:5" x14ac:dyDescent="0.2">
      <c r="A12" s="71">
        <v>22</v>
      </c>
      <c r="B12" s="72">
        <v>1.6060000000000001</v>
      </c>
      <c r="C12" s="72">
        <v>0.45100000000000001</v>
      </c>
      <c r="D12" s="72">
        <v>1.181</v>
      </c>
      <c r="E12" s="72">
        <v>0.13100000000000001</v>
      </c>
    </row>
    <row r="13" spans="1:5" x14ac:dyDescent="0.2">
      <c r="A13" s="71">
        <v>22.5</v>
      </c>
      <c r="B13" s="72">
        <v>1.6459999999999999</v>
      </c>
      <c r="C13" s="72">
        <v>0.46200000000000002</v>
      </c>
      <c r="D13" s="72">
        <v>1.2110000000000001</v>
      </c>
      <c r="E13" s="72">
        <v>0.13400000000000001</v>
      </c>
    </row>
    <row r="14" spans="1:5" x14ac:dyDescent="0.2">
      <c r="A14" s="71">
        <v>23</v>
      </c>
      <c r="B14" s="72">
        <v>1.6870000000000001</v>
      </c>
      <c r="C14" s="72">
        <v>0.47399999999999998</v>
      </c>
      <c r="D14" s="72">
        <v>1.24</v>
      </c>
      <c r="E14" s="72">
        <v>0.13700000000000001</v>
      </c>
    </row>
    <row r="15" spans="1:5" x14ac:dyDescent="0.2">
      <c r="A15" s="71">
        <v>23.5</v>
      </c>
      <c r="B15" s="72">
        <v>1.73</v>
      </c>
      <c r="C15" s="72">
        <v>0.48599999999999999</v>
      </c>
      <c r="D15" s="72">
        <v>1.272</v>
      </c>
      <c r="E15" s="72">
        <v>0.14099999999999999</v>
      </c>
    </row>
    <row r="16" spans="1:5" x14ac:dyDescent="0.2">
      <c r="A16" s="71">
        <v>24</v>
      </c>
      <c r="B16" s="72">
        <v>1.7729999999999999</v>
      </c>
      <c r="C16" s="72">
        <v>0.498</v>
      </c>
      <c r="D16" s="72">
        <v>1.3029999999999999</v>
      </c>
      <c r="E16" s="72">
        <v>0.14399999999999999</v>
      </c>
    </row>
    <row r="17" spans="1:5" x14ac:dyDescent="0.2">
      <c r="A17" s="71">
        <v>24.5</v>
      </c>
      <c r="B17" s="72">
        <v>1.8180000000000001</v>
      </c>
      <c r="C17" s="72">
        <v>0.51100000000000001</v>
      </c>
      <c r="D17" s="72">
        <v>1.3360000000000001</v>
      </c>
      <c r="E17" s="72">
        <v>0.14799999999999999</v>
      </c>
    </row>
    <row r="18" spans="1:5" x14ac:dyDescent="0.2">
      <c r="A18" s="71">
        <v>25</v>
      </c>
      <c r="B18" s="72">
        <v>1.8640000000000001</v>
      </c>
      <c r="C18" s="72">
        <v>0.52400000000000002</v>
      </c>
      <c r="D18" s="72">
        <v>1.369</v>
      </c>
      <c r="E18" s="72">
        <v>0.152</v>
      </c>
    </row>
    <row r="19" spans="1:5" x14ac:dyDescent="0.2">
      <c r="A19" s="71">
        <v>25.5</v>
      </c>
      <c r="B19" s="72">
        <v>1.911</v>
      </c>
      <c r="C19" s="72">
        <v>0.53700000000000003</v>
      </c>
      <c r="D19" s="72">
        <v>1.403</v>
      </c>
      <c r="E19" s="72">
        <v>0.156</v>
      </c>
    </row>
    <row r="20" spans="1:5" x14ac:dyDescent="0.2">
      <c r="A20" s="71">
        <v>26</v>
      </c>
      <c r="B20" s="72">
        <v>1.958</v>
      </c>
      <c r="C20" s="72">
        <v>0.55000000000000004</v>
      </c>
      <c r="D20" s="72">
        <v>1.4370000000000001</v>
      </c>
      <c r="E20" s="72">
        <v>0.159</v>
      </c>
    </row>
    <row r="21" spans="1:5" x14ac:dyDescent="0.2">
      <c r="A21" s="71">
        <v>26.5</v>
      </c>
      <c r="B21" s="72">
        <v>2.008</v>
      </c>
      <c r="C21" s="72">
        <v>0.56499999999999995</v>
      </c>
      <c r="D21" s="72">
        <v>1.474</v>
      </c>
      <c r="E21" s="72">
        <v>0.16400000000000001</v>
      </c>
    </row>
    <row r="22" spans="1:5" x14ac:dyDescent="0.2">
      <c r="A22" s="71">
        <v>27</v>
      </c>
      <c r="B22" s="72">
        <v>2.0579999999999998</v>
      </c>
      <c r="C22" s="72">
        <v>0.57899999999999996</v>
      </c>
      <c r="D22" s="72">
        <v>1.51</v>
      </c>
      <c r="E22" s="72">
        <v>0.16800000000000001</v>
      </c>
    </row>
    <row r="23" spans="1:5" x14ac:dyDescent="0.2">
      <c r="A23" s="71">
        <v>27.5</v>
      </c>
      <c r="B23" s="72">
        <v>2.11</v>
      </c>
      <c r="C23" s="72">
        <v>0.59299999999999997</v>
      </c>
      <c r="D23" s="71">
        <v>1.548</v>
      </c>
      <c r="E23" s="72">
        <v>0.17199999999999999</v>
      </c>
    </row>
    <row r="24" spans="1:5" x14ac:dyDescent="0.2">
      <c r="A24" s="71">
        <v>28</v>
      </c>
      <c r="B24" s="72">
        <v>2.1629999999999998</v>
      </c>
      <c r="C24" s="72">
        <v>0.60799999999999998</v>
      </c>
      <c r="D24" s="71">
        <v>1.5860000000000001</v>
      </c>
      <c r="E24" s="72">
        <v>0.17599999999999999</v>
      </c>
    </row>
    <row r="25" spans="1:5" x14ac:dyDescent="0.2">
      <c r="A25" s="71">
        <v>28.5</v>
      </c>
      <c r="B25" s="72">
        <v>2.218</v>
      </c>
      <c r="C25" s="72">
        <v>0.624</v>
      </c>
      <c r="D25" s="71">
        <v>1.6259999999999999</v>
      </c>
      <c r="E25" s="72">
        <v>0.18099999999999999</v>
      </c>
    </row>
    <row r="26" spans="1:5" x14ac:dyDescent="0.2">
      <c r="A26" s="71">
        <v>29</v>
      </c>
      <c r="B26" s="72">
        <v>2.2730000000000001</v>
      </c>
      <c r="C26" s="72">
        <v>0.63900000000000001</v>
      </c>
      <c r="D26" s="71">
        <v>1.6659999999999999</v>
      </c>
      <c r="E26" s="72">
        <v>0.185</v>
      </c>
    </row>
    <row r="27" spans="1:5" x14ac:dyDescent="0.2">
      <c r="A27" s="71">
        <v>29.5</v>
      </c>
      <c r="B27" s="72">
        <v>2.33</v>
      </c>
      <c r="C27" s="72">
        <v>0.65600000000000003</v>
      </c>
      <c r="D27" s="71">
        <v>1.708</v>
      </c>
      <c r="E27" s="72">
        <v>0.19</v>
      </c>
    </row>
    <row r="28" spans="1:5" x14ac:dyDescent="0.2">
      <c r="A28" s="71">
        <v>30</v>
      </c>
      <c r="B28" s="72">
        <v>2.3879999999999999</v>
      </c>
      <c r="C28" s="72">
        <v>0.67200000000000004</v>
      </c>
      <c r="D28" s="71">
        <v>1.75</v>
      </c>
      <c r="E28" s="72">
        <v>0.19500000000000001</v>
      </c>
    </row>
    <row r="29" spans="1:5" x14ac:dyDescent="0.2">
      <c r="A29" s="71">
        <v>30.5</v>
      </c>
      <c r="B29" s="72">
        <v>2.4489999999999998</v>
      </c>
      <c r="C29" s="72">
        <v>0.68899999999999995</v>
      </c>
      <c r="D29" s="71">
        <v>1.794</v>
      </c>
      <c r="E29" s="72">
        <v>0.2</v>
      </c>
    </row>
    <row r="30" spans="1:5" x14ac:dyDescent="0.2">
      <c r="A30" s="71">
        <v>31</v>
      </c>
      <c r="B30" s="72">
        <v>2.5099999999999998</v>
      </c>
      <c r="C30" s="72">
        <v>0.70699999999999996</v>
      </c>
      <c r="D30" s="71">
        <v>1.8380000000000001</v>
      </c>
      <c r="E30" s="72">
        <v>0.20499999999999999</v>
      </c>
    </row>
    <row r="31" spans="1:5" x14ac:dyDescent="0.2">
      <c r="A31" s="71">
        <v>31.5</v>
      </c>
      <c r="B31" s="72">
        <v>2.573</v>
      </c>
      <c r="C31" s="72">
        <v>0.72499999999999998</v>
      </c>
      <c r="D31" s="71">
        <v>1.8839999999999999</v>
      </c>
      <c r="E31" s="72">
        <v>0.21</v>
      </c>
    </row>
    <row r="32" spans="1:5" x14ac:dyDescent="0.2">
      <c r="A32" s="71">
        <v>32</v>
      </c>
      <c r="B32" s="72">
        <v>2.637</v>
      </c>
      <c r="C32" s="72">
        <v>0.74299999999999999</v>
      </c>
      <c r="D32" s="71">
        <v>1.931</v>
      </c>
      <c r="E32" s="72">
        <v>0.215</v>
      </c>
    </row>
    <row r="33" spans="1:5" x14ac:dyDescent="0.2">
      <c r="A33" s="71">
        <v>32.5</v>
      </c>
      <c r="B33" s="72">
        <v>2.7040000000000002</v>
      </c>
      <c r="C33" s="72">
        <v>0.76200000000000001</v>
      </c>
      <c r="D33" s="71">
        <v>1.9790000000000001</v>
      </c>
      <c r="E33" s="72">
        <v>0.221</v>
      </c>
    </row>
    <row r="34" spans="1:5" x14ac:dyDescent="0.2">
      <c r="A34" s="71">
        <v>33</v>
      </c>
      <c r="B34" s="72">
        <v>2.7709999999999999</v>
      </c>
      <c r="C34" s="72">
        <v>0.78100000000000003</v>
      </c>
      <c r="D34" s="71">
        <v>2.028</v>
      </c>
      <c r="E34" s="72">
        <v>0.22600000000000001</v>
      </c>
    </row>
    <row r="35" spans="1:5" x14ac:dyDescent="0.2">
      <c r="A35" s="71">
        <v>33.5</v>
      </c>
      <c r="B35" s="72">
        <v>2.8420000000000001</v>
      </c>
      <c r="C35" s="72">
        <v>0.80100000000000005</v>
      </c>
      <c r="D35" s="71">
        <v>2.0790000000000002</v>
      </c>
      <c r="E35" s="72">
        <v>0.23200000000000001</v>
      </c>
    </row>
    <row r="36" spans="1:5" x14ac:dyDescent="0.2">
      <c r="A36" s="71">
        <v>34</v>
      </c>
      <c r="B36" s="72">
        <v>2.9119999999999999</v>
      </c>
      <c r="C36" s="72">
        <v>0.82099999999999995</v>
      </c>
      <c r="D36" s="71">
        <v>2.1309999999999998</v>
      </c>
      <c r="E36" s="72">
        <v>0.23799999999999999</v>
      </c>
    </row>
    <row r="37" spans="1:5" x14ac:dyDescent="0.2">
      <c r="A37" s="71">
        <v>34.5</v>
      </c>
      <c r="B37" s="72">
        <v>2.9870000000000001</v>
      </c>
      <c r="C37" s="72">
        <v>0.84199999999999997</v>
      </c>
      <c r="D37" s="71">
        <v>2.1850000000000001</v>
      </c>
      <c r="E37" s="72">
        <v>0.24399999999999999</v>
      </c>
    </row>
    <row r="38" spans="1:5" x14ac:dyDescent="0.2">
      <c r="A38" s="71">
        <v>35</v>
      </c>
      <c r="B38" s="72">
        <v>3.0609999999999999</v>
      </c>
      <c r="C38" s="72">
        <v>0.86299999999999999</v>
      </c>
      <c r="D38" s="71">
        <v>2.238</v>
      </c>
      <c r="E38" s="72">
        <v>0.25</v>
      </c>
    </row>
    <row r="39" spans="1:5" x14ac:dyDescent="0.2">
      <c r="A39" s="71">
        <v>35.5</v>
      </c>
      <c r="B39" s="72">
        <v>3.1389999999999998</v>
      </c>
      <c r="C39" s="72">
        <v>0.88500000000000001</v>
      </c>
      <c r="D39" s="71">
        <v>2.2949999999999999</v>
      </c>
      <c r="E39" s="72">
        <v>0.25700000000000001</v>
      </c>
    </row>
    <row r="40" spans="1:5" x14ac:dyDescent="0.2">
      <c r="A40" s="71">
        <v>36</v>
      </c>
      <c r="B40" s="72">
        <v>3.2170000000000001</v>
      </c>
      <c r="C40" s="72">
        <v>0.90800000000000003</v>
      </c>
      <c r="D40" s="71">
        <v>2.3519999999999999</v>
      </c>
      <c r="E40" s="72">
        <v>0.26300000000000001</v>
      </c>
    </row>
    <row r="41" spans="1:5" x14ac:dyDescent="0.2">
      <c r="A41" s="71">
        <v>36.5</v>
      </c>
      <c r="B41" s="72">
        <v>3.2989999999999999</v>
      </c>
      <c r="C41" s="72">
        <v>0.93100000000000005</v>
      </c>
      <c r="D41" s="71">
        <v>2.411</v>
      </c>
      <c r="E41" s="72">
        <v>0.27</v>
      </c>
    </row>
    <row r="42" spans="1:5" x14ac:dyDescent="0.2">
      <c r="A42" s="71">
        <v>37</v>
      </c>
      <c r="B42" s="72">
        <v>3.3820000000000001</v>
      </c>
      <c r="C42" s="72">
        <v>0.95399999999999996</v>
      </c>
      <c r="D42" s="71">
        <v>2.4710000000000001</v>
      </c>
      <c r="E42" s="72">
        <v>0.27700000000000002</v>
      </c>
    </row>
    <row r="43" spans="1:5" x14ac:dyDescent="0.2">
      <c r="A43" s="71">
        <v>37.5</v>
      </c>
      <c r="B43" s="72">
        <v>3.468</v>
      </c>
      <c r="C43" s="72">
        <v>0.97899999999999998</v>
      </c>
      <c r="D43" s="71">
        <v>2.5339999999999998</v>
      </c>
      <c r="E43" s="72">
        <v>0.28399999999999997</v>
      </c>
    </row>
    <row r="44" spans="1:5" x14ac:dyDescent="0.2">
      <c r="A44" s="71">
        <v>38</v>
      </c>
      <c r="B44" s="72">
        <v>3.5550000000000002</v>
      </c>
      <c r="C44" s="72">
        <v>1.004</v>
      </c>
      <c r="D44" s="71">
        <v>2.5960000000000001</v>
      </c>
      <c r="E44" s="72">
        <v>0.29099999999999998</v>
      </c>
    </row>
    <row r="45" spans="1:5" x14ac:dyDescent="0.2">
      <c r="A45" s="71">
        <v>38.5</v>
      </c>
      <c r="B45" s="72">
        <v>3.6459999999999999</v>
      </c>
      <c r="C45" s="72">
        <v>1.03</v>
      </c>
      <c r="D45" s="71">
        <v>2.6619999999999999</v>
      </c>
      <c r="E45" s="72">
        <v>0.29799999999999999</v>
      </c>
    </row>
    <row r="46" spans="1:5" x14ac:dyDescent="0.2">
      <c r="A46" s="71">
        <v>39</v>
      </c>
      <c r="B46" s="72">
        <v>3.738</v>
      </c>
      <c r="C46" s="72">
        <v>1.056</v>
      </c>
      <c r="D46" s="71">
        <v>2.7280000000000002</v>
      </c>
      <c r="E46" s="72">
        <v>0.30599999999999999</v>
      </c>
    </row>
    <row r="47" spans="1:5" x14ac:dyDescent="0.2">
      <c r="A47" s="71">
        <v>39.5</v>
      </c>
      <c r="B47" s="72">
        <v>3.8340000000000001</v>
      </c>
      <c r="C47" s="72">
        <v>1.083</v>
      </c>
      <c r="D47" s="71">
        <v>2.798</v>
      </c>
      <c r="E47" s="72">
        <v>0.314</v>
      </c>
    </row>
    <row r="48" spans="1:5" x14ac:dyDescent="0.2">
      <c r="A48" s="71">
        <v>40</v>
      </c>
      <c r="B48" s="72">
        <v>3.93</v>
      </c>
      <c r="C48" s="72">
        <v>1.111</v>
      </c>
      <c r="D48" s="71">
        <v>2.867</v>
      </c>
      <c r="E48" s="72">
        <v>0.32200000000000001</v>
      </c>
    </row>
    <row r="49" spans="1:5" x14ac:dyDescent="0.2">
      <c r="A49" s="71">
        <v>40.5</v>
      </c>
      <c r="B49" s="72">
        <v>4.0309999999999997</v>
      </c>
      <c r="C49" s="72">
        <v>1.1399999999999999</v>
      </c>
      <c r="D49" s="71">
        <v>2.94</v>
      </c>
      <c r="E49" s="72">
        <v>0.33</v>
      </c>
    </row>
    <row r="50" spans="1:5" x14ac:dyDescent="0.2">
      <c r="A50" s="71">
        <v>41</v>
      </c>
      <c r="B50" s="72">
        <v>4.133</v>
      </c>
      <c r="C50" s="72">
        <v>1.169</v>
      </c>
      <c r="D50" s="71">
        <v>3.0129999999999999</v>
      </c>
      <c r="E50" s="72">
        <v>0.33900000000000002</v>
      </c>
    </row>
    <row r="51" spans="1:5" x14ac:dyDescent="0.2">
      <c r="A51" s="71">
        <v>41.5</v>
      </c>
      <c r="B51" s="72">
        <v>4.24</v>
      </c>
      <c r="C51" s="72">
        <v>1.1990000000000001</v>
      </c>
      <c r="D51" s="71">
        <v>3.9390000000000001</v>
      </c>
      <c r="E51" s="72">
        <v>0.34799999999999998</v>
      </c>
    </row>
    <row r="52" spans="1:5" x14ac:dyDescent="0.2">
      <c r="A52" s="71">
        <v>42</v>
      </c>
      <c r="B52" s="72">
        <v>4.3470000000000004</v>
      </c>
      <c r="C52" s="72">
        <v>1.23</v>
      </c>
      <c r="D52" s="71">
        <v>4.8650000000000002</v>
      </c>
      <c r="E52" s="72">
        <v>0.35599999999999998</v>
      </c>
    </row>
    <row r="53" spans="1:5" x14ac:dyDescent="0.2">
      <c r="A53" s="71">
        <v>42.5</v>
      </c>
      <c r="B53" s="72">
        <v>4.46</v>
      </c>
      <c r="C53" s="72">
        <v>1.262</v>
      </c>
      <c r="D53" s="71">
        <v>4.99</v>
      </c>
      <c r="E53" s="72">
        <v>0.36599999999999999</v>
      </c>
    </row>
    <row r="54" spans="1:5" x14ac:dyDescent="0.2">
      <c r="A54" s="71">
        <v>43</v>
      </c>
      <c r="B54" s="72">
        <v>4.5730000000000004</v>
      </c>
      <c r="C54" s="72">
        <v>1.2949999999999999</v>
      </c>
      <c r="D54" s="71">
        <v>5.1139999999999999</v>
      </c>
      <c r="E54" s="72">
        <v>0.375</v>
      </c>
    </row>
    <row r="55" spans="1:5" x14ac:dyDescent="0.2">
      <c r="A55" s="71">
        <v>43.5</v>
      </c>
      <c r="B55" s="72">
        <v>4.6929999999999996</v>
      </c>
      <c r="C55" s="72">
        <v>1.329</v>
      </c>
      <c r="D55" s="71">
        <v>5.2460000000000004</v>
      </c>
      <c r="E55" s="72">
        <v>0.38500000000000001</v>
      </c>
    </row>
    <row r="56" spans="1:5" x14ac:dyDescent="0.2">
      <c r="A56" s="71">
        <v>44</v>
      </c>
      <c r="B56" s="72">
        <v>4.8120000000000003</v>
      </c>
      <c r="C56" s="72">
        <v>1.3640000000000001</v>
      </c>
      <c r="D56" s="71">
        <v>5.3769999999999998</v>
      </c>
      <c r="E56" s="72">
        <v>0.39500000000000002</v>
      </c>
    </row>
    <row r="57" spans="1:5" x14ac:dyDescent="0.2">
      <c r="A57" s="71">
        <v>44.5</v>
      </c>
      <c r="B57" s="72">
        <v>4.9379999999999997</v>
      </c>
      <c r="C57" s="72">
        <v>1.4</v>
      </c>
      <c r="D57" s="71">
        <v>5.516</v>
      </c>
      <c r="E57" s="72">
        <v>0.40500000000000003</v>
      </c>
    </row>
    <row r="58" spans="1:5" x14ac:dyDescent="0.2">
      <c r="A58" s="71">
        <v>45</v>
      </c>
      <c r="B58" s="72">
        <v>5.0640000000000001</v>
      </c>
      <c r="C58" s="72">
        <v>1.4359999999999999</v>
      </c>
      <c r="D58" s="71">
        <v>5.6539999999999999</v>
      </c>
      <c r="E58" s="72">
        <v>0.41599999999999998</v>
      </c>
    </row>
    <row r="59" spans="1:5" x14ac:dyDescent="0.2">
      <c r="A59" s="71">
        <v>45.5</v>
      </c>
      <c r="B59" s="72">
        <v>5.1980000000000004</v>
      </c>
      <c r="C59" s="72">
        <v>1.4750000000000001</v>
      </c>
      <c r="D59" s="71">
        <v>5.8</v>
      </c>
      <c r="E59" s="72">
        <v>0.42699999999999999</v>
      </c>
    </row>
    <row r="60" spans="1:5" x14ac:dyDescent="0.2">
      <c r="A60" s="71">
        <v>46</v>
      </c>
      <c r="B60" s="72">
        <v>5.3319999999999999</v>
      </c>
      <c r="C60" s="72">
        <v>1.514</v>
      </c>
      <c r="D60" s="71">
        <v>5.9470000000000001</v>
      </c>
      <c r="E60" s="72">
        <v>0.438</v>
      </c>
    </row>
    <row r="61" spans="1:5" x14ac:dyDescent="0.2">
      <c r="A61" s="71">
        <v>46.5</v>
      </c>
      <c r="B61" s="72">
        <v>5.4729999999999999</v>
      </c>
      <c r="C61" s="72">
        <v>1.5549999999999999</v>
      </c>
      <c r="D61" s="71">
        <v>6.101</v>
      </c>
      <c r="E61" s="72">
        <v>0.45</v>
      </c>
    </row>
    <row r="62" spans="1:5" x14ac:dyDescent="0.2">
      <c r="A62" s="71">
        <v>47</v>
      </c>
      <c r="B62" s="72">
        <v>5.6139999999999999</v>
      </c>
      <c r="C62" s="72">
        <v>1.5960000000000001</v>
      </c>
      <c r="D62" s="71">
        <v>6.2549999999999999</v>
      </c>
      <c r="E62" s="72">
        <v>0.46100000000000002</v>
      </c>
    </row>
    <row r="63" spans="1:5" x14ac:dyDescent="0.2">
      <c r="A63" s="71">
        <v>47.5</v>
      </c>
      <c r="B63" s="72">
        <v>5.7640000000000002</v>
      </c>
      <c r="C63" s="72">
        <v>1.639</v>
      </c>
      <c r="D63" s="71">
        <v>6.4189999999999996</v>
      </c>
      <c r="E63" s="72">
        <v>0.47399999999999998</v>
      </c>
    </row>
    <row r="64" spans="1:5" x14ac:dyDescent="0.2">
      <c r="A64" s="71">
        <v>48</v>
      </c>
      <c r="B64" s="72">
        <v>5.9139999999999997</v>
      </c>
      <c r="C64" s="72">
        <v>1.6830000000000001</v>
      </c>
      <c r="D64" s="71">
        <v>6.5819999999999999</v>
      </c>
      <c r="E64" s="72">
        <v>0.48599999999999999</v>
      </c>
    </row>
    <row r="65" spans="1:5" x14ac:dyDescent="0.2">
      <c r="A65" s="71">
        <v>48.5</v>
      </c>
      <c r="B65" s="72">
        <v>6.0730000000000004</v>
      </c>
      <c r="C65" s="72">
        <v>1.7290000000000001</v>
      </c>
      <c r="D65" s="71">
        <v>6.7539999999999996</v>
      </c>
      <c r="E65" s="72">
        <v>0.5</v>
      </c>
    </row>
    <row r="66" spans="1:5" x14ac:dyDescent="0.2">
      <c r="A66" s="71">
        <v>49</v>
      </c>
      <c r="B66" s="72">
        <v>6.2320000000000002</v>
      </c>
      <c r="C66" s="72">
        <v>1.7749999999999999</v>
      </c>
      <c r="D66" s="71">
        <v>6.9260000000000002</v>
      </c>
      <c r="E66" s="72">
        <v>0.51300000000000001</v>
      </c>
    </row>
    <row r="67" spans="1:5" x14ac:dyDescent="0.2">
      <c r="A67" s="71">
        <v>49.5</v>
      </c>
      <c r="B67" s="72">
        <v>6.4</v>
      </c>
      <c r="C67" s="72">
        <v>1.825</v>
      </c>
      <c r="D67" s="71">
        <v>7.109</v>
      </c>
      <c r="E67" s="72">
        <v>0.52700000000000002</v>
      </c>
    </row>
    <row r="68" spans="1:5" x14ac:dyDescent="0.2">
      <c r="A68" s="71">
        <v>50</v>
      </c>
      <c r="B68" s="72">
        <v>6.569</v>
      </c>
      <c r="C68" s="72">
        <v>1.8740000000000001</v>
      </c>
      <c r="D68" s="71">
        <v>7.2910000000000004</v>
      </c>
      <c r="E68" s="72">
        <v>0.54100000000000004</v>
      </c>
    </row>
    <row r="69" spans="1:5" x14ac:dyDescent="0.2">
      <c r="A69" s="71">
        <v>50.5</v>
      </c>
      <c r="B69" s="72">
        <v>6.7480000000000002</v>
      </c>
      <c r="C69" s="72">
        <v>1.927</v>
      </c>
      <c r="D69" s="71">
        <v>7.484</v>
      </c>
      <c r="E69" s="72">
        <v>0.55600000000000005</v>
      </c>
    </row>
    <row r="70" spans="1:5" x14ac:dyDescent="0.2">
      <c r="A70" s="71">
        <v>51</v>
      </c>
      <c r="B70" s="72">
        <v>6.9279999999999999</v>
      </c>
      <c r="C70" s="72">
        <v>1.98</v>
      </c>
      <c r="D70" s="71">
        <v>5.6769999999999996</v>
      </c>
      <c r="E70" s="72">
        <v>0.57199999999999995</v>
      </c>
    </row>
    <row r="71" spans="1:5" x14ac:dyDescent="0.2">
      <c r="A71" s="71">
        <v>51.5</v>
      </c>
      <c r="B71" s="72">
        <v>7.1189999999999998</v>
      </c>
      <c r="C71" s="72">
        <v>2.036</v>
      </c>
      <c r="D71" s="71">
        <v>7.8819999999999997</v>
      </c>
      <c r="E71" s="72">
        <v>0.58799999999999997</v>
      </c>
    </row>
    <row r="72" spans="1:5" x14ac:dyDescent="0.2">
      <c r="A72" s="71">
        <v>52</v>
      </c>
      <c r="B72" s="72">
        <v>7.3090000000000002</v>
      </c>
      <c r="C72" s="72">
        <v>2.093</v>
      </c>
      <c r="D72" s="71">
        <v>8.0860000000000003</v>
      </c>
      <c r="E72" s="72">
        <v>0.60399999999999998</v>
      </c>
    </row>
    <row r="73" spans="1:5" x14ac:dyDescent="0.2">
      <c r="A73" s="71">
        <v>52.5</v>
      </c>
      <c r="B73" s="72">
        <v>7.5129999999999999</v>
      </c>
      <c r="C73" s="72">
        <v>2.153</v>
      </c>
      <c r="D73" s="71">
        <v>8.3030000000000008</v>
      </c>
      <c r="E73" s="72">
        <v>0.621</v>
      </c>
    </row>
    <row r="74" spans="1:5" x14ac:dyDescent="0.2">
      <c r="A74" s="71">
        <v>53</v>
      </c>
      <c r="B74" s="72">
        <v>7.7160000000000002</v>
      </c>
      <c r="C74" s="72">
        <v>2.214</v>
      </c>
      <c r="D74" s="71">
        <v>8.5210000000000008</v>
      </c>
      <c r="E74" s="72">
        <v>0.63800000000000001</v>
      </c>
    </row>
    <row r="75" spans="1:5" x14ac:dyDescent="0.2">
      <c r="A75" s="71">
        <v>53.5</v>
      </c>
      <c r="B75" s="72">
        <v>7.9930000000000003</v>
      </c>
      <c r="C75" s="72">
        <v>2.2789999999999999</v>
      </c>
      <c r="D75" s="71">
        <v>8.7509999999999994</v>
      </c>
      <c r="E75" s="72">
        <v>0.65700000000000003</v>
      </c>
    </row>
    <row r="76" spans="1:5" x14ac:dyDescent="0.2">
      <c r="A76" s="71">
        <v>54</v>
      </c>
      <c r="B76" s="72">
        <v>8.15</v>
      </c>
      <c r="C76" s="72">
        <v>2.3439999999999999</v>
      </c>
      <c r="D76" s="71">
        <v>8.9809999999999999</v>
      </c>
      <c r="E76" s="72">
        <v>0.67500000000000004</v>
      </c>
    </row>
    <row r="77" spans="1:5" x14ac:dyDescent="0.2">
      <c r="A77" s="71">
        <v>54.5</v>
      </c>
      <c r="B77" s="72">
        <v>8.3829999999999991</v>
      </c>
      <c r="C77" s="72">
        <v>2.4140000000000001</v>
      </c>
      <c r="D77" s="72">
        <v>9.2270000000000003</v>
      </c>
      <c r="E77" s="72">
        <v>0.69499999999999995</v>
      </c>
    </row>
    <row r="78" spans="1:5" x14ac:dyDescent="0.2">
      <c r="A78" s="71">
        <v>55</v>
      </c>
      <c r="B78" s="72">
        <v>8.6150000000000002</v>
      </c>
      <c r="C78" s="72">
        <v>2.484</v>
      </c>
      <c r="D78" s="71">
        <v>9.4719999999999995</v>
      </c>
      <c r="E78" s="72">
        <v>0.71499999999999997</v>
      </c>
    </row>
    <row r="79" spans="1:5" x14ac:dyDescent="0.2">
      <c r="A79" s="71">
        <v>55.5</v>
      </c>
      <c r="B79" s="72">
        <v>8.8629999999999995</v>
      </c>
      <c r="C79" s="72">
        <v>2.5590000000000002</v>
      </c>
      <c r="D79" s="71">
        <v>9.7330000000000005</v>
      </c>
      <c r="E79" s="72">
        <v>0.73599999999999999</v>
      </c>
    </row>
    <row r="80" spans="1:5" x14ac:dyDescent="0.2">
      <c r="A80" s="71">
        <v>56</v>
      </c>
      <c r="B80" s="72">
        <v>9.1120000000000001</v>
      </c>
      <c r="C80" s="72">
        <v>2.6339999999999999</v>
      </c>
      <c r="D80" s="71">
        <v>9.9939999999999998</v>
      </c>
      <c r="E80" s="72">
        <v>0.75700000000000001</v>
      </c>
    </row>
    <row r="81" spans="1:5" x14ac:dyDescent="0.2">
      <c r="A81" s="71">
        <v>56.5</v>
      </c>
      <c r="B81" s="72">
        <v>9.3789999999999996</v>
      </c>
      <c r="C81" s="72">
        <v>2.7160000000000002</v>
      </c>
      <c r="D81" s="71">
        <v>10.272</v>
      </c>
      <c r="E81" s="72">
        <v>0.78</v>
      </c>
    </row>
    <row r="82" spans="1:5" x14ac:dyDescent="0.2">
      <c r="A82" s="71">
        <v>57</v>
      </c>
      <c r="B82" s="72">
        <v>9.6460000000000008</v>
      </c>
      <c r="C82" s="72">
        <v>2.7970000000000002</v>
      </c>
      <c r="D82" s="71">
        <v>10.55</v>
      </c>
      <c r="E82" s="72">
        <v>0.80300000000000005</v>
      </c>
    </row>
    <row r="83" spans="1:5" x14ac:dyDescent="0.2">
      <c r="A83" s="71">
        <v>57.5</v>
      </c>
      <c r="B83" s="72">
        <v>9.9329999999999998</v>
      </c>
      <c r="C83" s="72">
        <v>2.8860000000000001</v>
      </c>
      <c r="D83" s="71">
        <v>10.847</v>
      </c>
      <c r="E83" s="72">
        <v>0.82799999999999996</v>
      </c>
    </row>
    <row r="84" spans="1:5" x14ac:dyDescent="0.2">
      <c r="A84" s="71">
        <v>58</v>
      </c>
      <c r="B84" s="72">
        <v>10.220000000000001</v>
      </c>
      <c r="C84" s="72">
        <v>2.9740000000000002</v>
      </c>
      <c r="D84" s="71">
        <v>11.145</v>
      </c>
      <c r="E84" s="72">
        <v>0.85299999999999998</v>
      </c>
    </row>
    <row r="85" spans="1:5" x14ac:dyDescent="0.2">
      <c r="A85" s="71">
        <v>58.5</v>
      </c>
      <c r="B85" s="72">
        <v>10.53</v>
      </c>
      <c r="C85" s="72">
        <v>3.0710000000000002</v>
      </c>
      <c r="D85" s="71">
        <v>11.462999999999999</v>
      </c>
      <c r="E85" s="72">
        <v>0.88</v>
      </c>
    </row>
    <row r="86" spans="1:5" x14ac:dyDescent="0.2">
      <c r="A86" s="71">
        <v>59</v>
      </c>
      <c r="B86" s="72">
        <v>10.839</v>
      </c>
      <c r="C86" s="72">
        <v>3.1669999999999998</v>
      </c>
      <c r="D86" s="71">
        <v>11.781000000000001</v>
      </c>
      <c r="E86" s="72">
        <v>0.90700000000000003</v>
      </c>
    </row>
    <row r="87" spans="1:5" x14ac:dyDescent="0.2">
      <c r="A87" s="71">
        <v>59.5</v>
      </c>
      <c r="B87" s="72">
        <v>11.173999999999999</v>
      </c>
      <c r="C87" s="72">
        <v>3.2719999999999998</v>
      </c>
      <c r="D87" s="71">
        <v>12.122</v>
      </c>
      <c r="E87" s="72">
        <v>0.93700000000000006</v>
      </c>
    </row>
    <row r="88" spans="1:5" x14ac:dyDescent="0.2">
      <c r="A88" s="71">
        <v>60</v>
      </c>
      <c r="B88" s="72">
        <v>11.509</v>
      </c>
      <c r="C88" s="72">
        <v>3.3769999999999998</v>
      </c>
      <c r="D88" s="71">
        <v>12.462999999999999</v>
      </c>
      <c r="E88" s="71">
        <v>0.96599999999999997</v>
      </c>
    </row>
    <row r="89" spans="1:5" x14ac:dyDescent="0.2">
      <c r="A89" s="71">
        <v>60.5</v>
      </c>
      <c r="B89" s="73">
        <v>11.509</v>
      </c>
      <c r="C89" s="73">
        <v>3.3769999999999998</v>
      </c>
      <c r="D89" s="74">
        <v>12.462999999999999</v>
      </c>
      <c r="E89" s="74">
        <v>0.96599999999999997</v>
      </c>
    </row>
    <row r="90" spans="1:5" x14ac:dyDescent="0.2">
      <c r="A90" s="71">
        <v>61</v>
      </c>
      <c r="B90" s="73">
        <v>11.509</v>
      </c>
      <c r="C90" s="73">
        <v>3.3769999999999998</v>
      </c>
      <c r="D90" s="74">
        <v>12.462999999999999</v>
      </c>
      <c r="E90" s="74">
        <v>0.96599999999999997</v>
      </c>
    </row>
    <row r="91" spans="1:5" x14ac:dyDescent="0.2">
      <c r="A91" s="71">
        <v>61.5</v>
      </c>
      <c r="B91" s="73">
        <v>11.509</v>
      </c>
      <c r="C91" s="73">
        <v>3.3769999999999998</v>
      </c>
      <c r="D91" s="74">
        <v>12.462999999999999</v>
      </c>
      <c r="E91" s="74">
        <v>0.96599999999999997</v>
      </c>
    </row>
    <row r="92" spans="1:5" x14ac:dyDescent="0.2">
      <c r="A92" s="71">
        <v>62</v>
      </c>
      <c r="B92" s="73">
        <v>11.509</v>
      </c>
      <c r="C92" s="73">
        <v>3.3769999999999998</v>
      </c>
      <c r="D92" s="74">
        <v>12.462999999999999</v>
      </c>
      <c r="E92" s="74">
        <v>0.96599999999999997</v>
      </c>
    </row>
    <row r="93" spans="1:5" x14ac:dyDescent="0.2">
      <c r="A93" s="71">
        <v>62.5</v>
      </c>
      <c r="B93" s="73">
        <v>11.509</v>
      </c>
      <c r="C93" s="73">
        <v>3.3769999999999998</v>
      </c>
      <c r="D93" s="74">
        <v>12.462999999999999</v>
      </c>
      <c r="E93" s="74">
        <v>0.96599999999999997</v>
      </c>
    </row>
    <row r="94" spans="1:5" x14ac:dyDescent="0.2">
      <c r="A94" s="71">
        <v>63</v>
      </c>
      <c r="B94" s="73">
        <v>11.509</v>
      </c>
      <c r="C94" s="73">
        <v>3.3769999999999998</v>
      </c>
      <c r="D94" s="74">
        <v>12.462999999999999</v>
      </c>
      <c r="E94" s="74">
        <v>0.96599999999999997</v>
      </c>
    </row>
    <row r="95" spans="1:5" x14ac:dyDescent="0.2">
      <c r="A95" s="71">
        <v>63.5</v>
      </c>
      <c r="B95" s="73">
        <v>11.509</v>
      </c>
      <c r="C95" s="73">
        <v>3.3769999999999998</v>
      </c>
      <c r="D95" s="74">
        <v>12.462999999999999</v>
      </c>
      <c r="E95" s="74">
        <v>0.96599999999999997</v>
      </c>
    </row>
    <row r="96" spans="1:5" x14ac:dyDescent="0.2">
      <c r="A96" s="71">
        <v>64</v>
      </c>
      <c r="B96" s="73">
        <v>11.509</v>
      </c>
      <c r="C96" s="73">
        <v>3.3769999999999998</v>
      </c>
      <c r="D96" s="74">
        <v>12.462999999999999</v>
      </c>
      <c r="E96" s="74">
        <v>0.96599999999999997</v>
      </c>
    </row>
    <row r="97" spans="1:5" x14ac:dyDescent="0.2">
      <c r="A97" s="71">
        <v>64.5</v>
      </c>
      <c r="B97" s="73">
        <v>11.509</v>
      </c>
      <c r="C97" s="73">
        <v>3.3769999999999998</v>
      </c>
      <c r="D97" s="74">
        <v>12.462999999999999</v>
      </c>
      <c r="E97" s="74">
        <v>0.96599999999999997</v>
      </c>
    </row>
    <row r="98" spans="1:5" x14ac:dyDescent="0.2">
      <c r="A98" s="71">
        <v>65</v>
      </c>
      <c r="B98" s="73">
        <v>11.509</v>
      </c>
      <c r="C98" s="73">
        <v>3.3769999999999998</v>
      </c>
      <c r="D98" s="74">
        <v>12.462999999999999</v>
      </c>
      <c r="E98" s="74">
        <v>0.96599999999999997</v>
      </c>
    </row>
    <row r="99" spans="1:5" x14ac:dyDescent="0.2">
      <c r="A99" s="71" t="s">
        <v>379</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topLeftCell="A95" workbookViewId="0">
      <selection activeCell="B109" sqref="B109:D119"/>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552</v>
      </c>
      <c r="C12" s="6" t="s">
        <v>551</v>
      </c>
    </row>
    <row r="13" spans="1:3" x14ac:dyDescent="0.25">
      <c r="B13" s="6" t="s">
        <v>168</v>
      </c>
      <c r="C13" s="6" t="s">
        <v>169</v>
      </c>
    </row>
    <row r="14" spans="1:3" x14ac:dyDescent="0.25">
      <c r="B14" s="6" t="s">
        <v>170</v>
      </c>
      <c r="C14" s="6" t="s">
        <v>171</v>
      </c>
    </row>
    <row r="15" spans="1:3" x14ac:dyDescent="0.25">
      <c r="B15" s="6" t="s">
        <v>172</v>
      </c>
      <c r="C15" s="6" t="s">
        <v>549</v>
      </c>
    </row>
    <row r="16" spans="1:3" ht="7.15" customHeight="1" x14ac:dyDescent="0.25"/>
    <row r="17" spans="1:6" x14ac:dyDescent="0.25">
      <c r="B17" s="6" t="s">
        <v>550</v>
      </c>
      <c r="C17" s="6" t="s">
        <v>181</v>
      </c>
    </row>
    <row r="18" spans="1:6" x14ac:dyDescent="0.25">
      <c r="B18" s="6" t="s">
        <v>182</v>
      </c>
      <c r="C18" s="6" t="s">
        <v>181</v>
      </c>
    </row>
    <row r="19" spans="1:6" x14ac:dyDescent="0.25">
      <c r="B19" s="6" t="s">
        <v>183</v>
      </c>
      <c r="C19" s="6" t="s">
        <v>181</v>
      </c>
    </row>
    <row r="20" spans="1:6" x14ac:dyDescent="0.25">
      <c r="B20" s="6" t="s">
        <v>540</v>
      </c>
      <c r="C20" s="6" t="s">
        <v>553</v>
      </c>
    </row>
    <row r="21" spans="1:6" x14ac:dyDescent="0.25">
      <c r="B21" s="62"/>
      <c r="C21" s="62"/>
    </row>
    <row r="23" spans="1:6" x14ac:dyDescent="0.25">
      <c r="A23" s="1">
        <v>2</v>
      </c>
      <c r="B23" s="15" t="s">
        <v>69</v>
      </c>
    </row>
    <row r="24" spans="1:6" x14ac:dyDescent="0.25">
      <c r="B24" s="1" t="s">
        <v>186</v>
      </c>
    </row>
    <row r="25" spans="1:6" ht="75"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575</v>
      </c>
    </row>
    <row r="45" spans="1:6" x14ac:dyDescent="0.25">
      <c r="B45" s="56" t="s">
        <v>554</v>
      </c>
    </row>
    <row r="47" spans="1:6" x14ac:dyDescent="0.25">
      <c r="B47" s="58" t="s">
        <v>269</v>
      </c>
    </row>
    <row r="48" spans="1:6" x14ac:dyDescent="0.25">
      <c r="B48" s="1" t="s">
        <v>576</v>
      </c>
    </row>
    <row r="51" spans="2:4" x14ac:dyDescent="0.25">
      <c r="B51" s="31" t="s">
        <v>510</v>
      </c>
    </row>
    <row r="52" spans="2:4" x14ac:dyDescent="0.25">
      <c r="B52" s="31"/>
    </row>
    <row r="53" spans="2:4" x14ac:dyDescent="0.25">
      <c r="B53" s="31" t="s">
        <v>586</v>
      </c>
    </row>
    <row r="54" spans="2:4" x14ac:dyDescent="0.25">
      <c r="B54" s="6" t="s">
        <v>165</v>
      </c>
      <c r="C54" s="6" t="s">
        <v>245</v>
      </c>
      <c r="D54" s="6" t="s">
        <v>250</v>
      </c>
    </row>
    <row r="55" spans="2:4" ht="30" x14ac:dyDescent="0.25">
      <c r="B55" s="6" t="s">
        <v>578</v>
      </c>
      <c r="C55" s="7" t="s">
        <v>579</v>
      </c>
      <c r="D55" s="6" t="s">
        <v>580</v>
      </c>
    </row>
    <row r="56" spans="2:4" x14ac:dyDescent="0.25">
      <c r="B56" s="6" t="s">
        <v>511</v>
      </c>
      <c r="C56" s="7" t="s">
        <v>492</v>
      </c>
      <c r="D56" s="6">
        <v>2</v>
      </c>
    </row>
    <row r="57" spans="2:4" x14ac:dyDescent="0.25">
      <c r="B57" s="6" t="s">
        <v>410</v>
      </c>
      <c r="C57" s="7" t="s">
        <v>577</v>
      </c>
      <c r="D57" s="40">
        <v>0.25</v>
      </c>
    </row>
    <row r="58" spans="2:4" x14ac:dyDescent="0.25">
      <c r="B58" s="6" t="s">
        <v>562</v>
      </c>
      <c r="C58" s="7" t="s">
        <v>589</v>
      </c>
      <c r="D58" s="47">
        <v>12000</v>
      </c>
    </row>
    <row r="59" spans="2:4" x14ac:dyDescent="0.25">
      <c r="B59" s="6" t="s">
        <v>540</v>
      </c>
      <c r="C59" s="7" t="s">
        <v>167</v>
      </c>
      <c r="D59" s="104">
        <v>0.06</v>
      </c>
    </row>
    <row r="60" spans="2:4" ht="45" x14ac:dyDescent="0.25">
      <c r="B60" s="11" t="s">
        <v>585</v>
      </c>
      <c r="C60" s="12" t="s">
        <v>588</v>
      </c>
      <c r="D60" s="106">
        <f>D56*D57*D58*0.28</f>
        <v>1680.0000000000002</v>
      </c>
    </row>
    <row r="62" spans="2:4" x14ac:dyDescent="0.25">
      <c r="B62" s="31" t="s">
        <v>587</v>
      </c>
    </row>
    <row r="63" spans="2:4" x14ac:dyDescent="0.25">
      <c r="B63" s="6" t="s">
        <v>165</v>
      </c>
      <c r="C63" s="6" t="s">
        <v>245</v>
      </c>
      <c r="D63" s="6" t="s">
        <v>250</v>
      </c>
    </row>
    <row r="64" spans="2:4" ht="30" x14ac:dyDescent="0.25">
      <c r="B64" s="6" t="s">
        <v>578</v>
      </c>
      <c r="C64" s="7" t="s">
        <v>579</v>
      </c>
      <c r="D64" s="6" t="s">
        <v>580</v>
      </c>
    </row>
    <row r="65" spans="2:4" x14ac:dyDescent="0.25">
      <c r="B65" s="6" t="s">
        <v>511</v>
      </c>
      <c r="C65" s="7" t="s">
        <v>492</v>
      </c>
      <c r="D65" s="6">
        <v>15</v>
      </c>
    </row>
    <row r="66" spans="2:4" x14ac:dyDescent="0.25">
      <c r="B66" s="6" t="s">
        <v>410</v>
      </c>
      <c r="C66" s="7" t="s">
        <v>577</v>
      </c>
      <c r="D66" s="40">
        <v>0.25</v>
      </c>
    </row>
    <row r="67" spans="2:4" x14ac:dyDescent="0.25">
      <c r="B67" s="6" t="s">
        <v>562</v>
      </c>
      <c r="C67" s="7" t="s">
        <v>589</v>
      </c>
      <c r="D67" s="47">
        <v>12000</v>
      </c>
    </row>
    <row r="68" spans="2:4" x14ac:dyDescent="0.25">
      <c r="B68" s="6" t="s">
        <v>540</v>
      </c>
      <c r="C68" s="7" t="s">
        <v>167</v>
      </c>
      <c r="D68" s="104">
        <v>8.3299999999999999E-2</v>
      </c>
    </row>
    <row r="69" spans="2:4" x14ac:dyDescent="0.25">
      <c r="B69" s="6" t="s">
        <v>581</v>
      </c>
      <c r="C69" s="6" t="s">
        <v>582</v>
      </c>
      <c r="D69" s="105">
        <v>30000</v>
      </c>
    </row>
    <row r="70" spans="2:4" ht="60" x14ac:dyDescent="0.25">
      <c r="B70" s="6" t="s">
        <v>585</v>
      </c>
      <c r="C70" s="7" t="s">
        <v>590</v>
      </c>
      <c r="D70" s="48">
        <f>D65*D67*D66-D69</f>
        <v>15000</v>
      </c>
    </row>
    <row r="71" spans="2:4" x14ac:dyDescent="0.25">
      <c r="B71" s="6"/>
      <c r="C71" s="6"/>
      <c r="D71" s="6"/>
    </row>
    <row r="72" spans="2:4" x14ac:dyDescent="0.25">
      <c r="B72" s="6"/>
      <c r="C72" s="6"/>
      <c r="D72" s="6"/>
    </row>
    <row r="77" spans="2:4" x14ac:dyDescent="0.25">
      <c r="B77" s="56" t="s">
        <v>555</v>
      </c>
    </row>
    <row r="78" spans="2:4" x14ac:dyDescent="0.25">
      <c r="B78" s="31" t="s">
        <v>556</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45" x14ac:dyDescent="0.25">
      <c r="B90" s="6" t="s">
        <v>246</v>
      </c>
      <c r="C90" s="7" t="s">
        <v>247</v>
      </c>
      <c r="D90" s="6">
        <v>45</v>
      </c>
    </row>
    <row r="91" spans="2:4" x14ac:dyDescent="0.25">
      <c r="B91" s="6" t="s">
        <v>550</v>
      </c>
      <c r="C91" s="6" t="s">
        <v>181</v>
      </c>
      <c r="D91" s="6">
        <v>10000</v>
      </c>
    </row>
    <row r="92" spans="2:4" ht="30" x14ac:dyDescent="0.25">
      <c r="B92" s="6" t="s">
        <v>248</v>
      </c>
      <c r="C92" s="7" t="s">
        <v>249</v>
      </c>
      <c r="D92" s="47">
        <f>D91/21.67</f>
        <v>461.46746654360862</v>
      </c>
    </row>
    <row r="93" spans="2:4" ht="30" x14ac:dyDescent="0.25">
      <c r="B93" s="6" t="s">
        <v>251</v>
      </c>
      <c r="C93" s="7" t="s">
        <v>254</v>
      </c>
      <c r="D93" s="48">
        <f>D92*D90</f>
        <v>20766.035994462389</v>
      </c>
    </row>
    <row r="95" spans="2:4" x14ac:dyDescent="0.25">
      <c r="B95" s="26" t="s">
        <v>557</v>
      </c>
    </row>
    <row r="96" spans="2:4" x14ac:dyDescent="0.25">
      <c r="B96" s="31" t="s">
        <v>269</v>
      </c>
    </row>
    <row r="97" spans="2:4" x14ac:dyDescent="0.25">
      <c r="B97" s="31" t="s">
        <v>558</v>
      </c>
    </row>
    <row r="98" spans="2:4" x14ac:dyDescent="0.25">
      <c r="B98" s="1" t="s">
        <v>259</v>
      </c>
    </row>
    <row r="99" spans="2:4" x14ac:dyDescent="0.25">
      <c r="B99" s="1" t="s">
        <v>257</v>
      </c>
    </row>
    <row r="100" spans="2:4" x14ac:dyDescent="0.25">
      <c r="B100" s="49">
        <v>1</v>
      </c>
      <c r="C100" s="49" t="s">
        <v>272</v>
      </c>
    </row>
    <row r="101" spans="2:4" x14ac:dyDescent="0.25">
      <c r="B101" s="49">
        <v>2</v>
      </c>
      <c r="C101" s="49" t="s">
        <v>273</v>
      </c>
    </row>
    <row r="102" spans="2:4" x14ac:dyDescent="0.25">
      <c r="B102" s="49">
        <v>3</v>
      </c>
      <c r="C102" s="49" t="s">
        <v>258</v>
      </c>
    </row>
    <row r="104" spans="2:4" x14ac:dyDescent="0.25">
      <c r="B104" s="49" t="s">
        <v>260</v>
      </c>
      <c r="C104" s="49"/>
      <c r="D104" s="49"/>
    </row>
    <row r="105" spans="2:4" x14ac:dyDescent="0.25">
      <c r="B105" s="49" t="s">
        <v>261</v>
      </c>
      <c r="C105" s="49"/>
      <c r="D105" s="49"/>
    </row>
    <row r="106" spans="2:4" x14ac:dyDescent="0.25">
      <c r="B106" s="49" t="s">
        <v>262</v>
      </c>
      <c r="C106" s="49"/>
      <c r="D106" s="49"/>
    </row>
    <row r="107" spans="2:4" x14ac:dyDescent="0.25">
      <c r="B107" s="49" t="s">
        <v>263</v>
      </c>
      <c r="C107" s="49"/>
      <c r="D107" s="49"/>
    </row>
    <row r="108" spans="2:4" x14ac:dyDescent="0.25">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90" x14ac:dyDescent="0.25">
      <c r="B123" s="6" t="s">
        <v>271</v>
      </c>
      <c r="C123" s="7" t="s">
        <v>274</v>
      </c>
      <c r="D123" s="6" t="s">
        <v>275</v>
      </c>
    </row>
    <row r="124" spans="2:5" ht="75"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60" x14ac:dyDescent="0.25">
      <c r="B128" s="6" t="s">
        <v>285</v>
      </c>
      <c r="C128" s="7" t="s">
        <v>286</v>
      </c>
      <c r="D128" s="47">
        <v>6</v>
      </c>
    </row>
    <row r="129" spans="2:5" ht="30" x14ac:dyDescent="0.25">
      <c r="B129" s="6" t="s">
        <v>287</v>
      </c>
      <c r="C129" s="7" t="s">
        <v>288</v>
      </c>
      <c r="D129" s="48">
        <f>D125/30*D128</f>
        <v>80</v>
      </c>
    </row>
    <row r="130" spans="2:5" x14ac:dyDescent="0.25">
      <c r="B130" s="6" t="s">
        <v>292</v>
      </c>
      <c r="C130" s="6" t="s">
        <v>559</v>
      </c>
      <c r="D130" s="6">
        <v>11500</v>
      </c>
      <c r="E130" s="1" t="s">
        <v>289</v>
      </c>
    </row>
    <row r="131" spans="2:5" x14ac:dyDescent="0.25">
      <c r="B131" s="6" t="s">
        <v>248</v>
      </c>
      <c r="C131" s="6" t="s">
        <v>291</v>
      </c>
      <c r="D131" s="6">
        <f>D130/25</f>
        <v>460</v>
      </c>
    </row>
    <row r="132" spans="2:5" ht="45"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560</v>
      </c>
    </row>
    <row r="137" spans="2:5" x14ac:dyDescent="0.25">
      <c r="B137" s="1" t="s">
        <v>432</v>
      </c>
    </row>
    <row r="138" spans="2:5" x14ac:dyDescent="0.25">
      <c r="B138" s="1" t="s">
        <v>561</v>
      </c>
    </row>
    <row r="140" spans="2:5" x14ac:dyDescent="0.25">
      <c r="B140" s="31" t="s">
        <v>434</v>
      </c>
    </row>
    <row r="141" spans="2:5" x14ac:dyDescent="0.25">
      <c r="B141" s="6" t="s">
        <v>165</v>
      </c>
      <c r="C141" s="6" t="s">
        <v>245</v>
      </c>
      <c r="D141" s="6" t="s">
        <v>250</v>
      </c>
    </row>
    <row r="142" spans="2:5" x14ac:dyDescent="0.25">
      <c r="B142" s="6" t="s">
        <v>435</v>
      </c>
      <c r="C142" s="7" t="s">
        <v>436</v>
      </c>
      <c r="D142" s="6" t="s">
        <v>145</v>
      </c>
    </row>
    <row r="143" spans="2:5" x14ac:dyDescent="0.25">
      <c r="B143" s="6" t="s">
        <v>562</v>
      </c>
      <c r="C143" s="7" t="s">
        <v>563</v>
      </c>
      <c r="D143" s="6">
        <v>8000</v>
      </c>
    </row>
    <row r="144" spans="2:5" x14ac:dyDescent="0.25">
      <c r="B144" s="6" t="s">
        <v>439</v>
      </c>
      <c r="C144" s="7" t="s">
        <v>440</v>
      </c>
      <c r="D144" s="6">
        <f>D143*1</f>
        <v>8000</v>
      </c>
    </row>
    <row r="146" spans="2:14" x14ac:dyDescent="0.25">
      <c r="B146" s="26" t="s">
        <v>564</v>
      </c>
    </row>
    <row r="147" spans="2:14" x14ac:dyDescent="0.25">
      <c r="B147" s="49" t="s">
        <v>442</v>
      </c>
      <c r="C147" s="79"/>
      <c r="D147" s="49"/>
      <c r="E147" s="49"/>
      <c r="F147" s="49"/>
      <c r="G147" s="49"/>
      <c r="H147" s="49"/>
      <c r="I147" s="49"/>
      <c r="J147" s="49"/>
      <c r="K147" s="49"/>
      <c r="L147" s="49"/>
      <c r="M147" s="49"/>
      <c r="N147" s="49"/>
    </row>
    <row r="148" spans="2:14" x14ac:dyDescent="0.25">
      <c r="B148" s="49" t="s">
        <v>443</v>
      </c>
      <c r="C148" s="79"/>
      <c r="D148" s="49"/>
      <c r="E148" s="49"/>
      <c r="F148" s="49"/>
      <c r="G148" s="49"/>
      <c r="H148" s="49"/>
      <c r="I148" s="49"/>
      <c r="J148" s="49"/>
      <c r="K148" s="49"/>
      <c r="L148" s="49"/>
      <c r="M148" s="49"/>
      <c r="N148" s="49"/>
    </row>
    <row r="149" spans="2:14" x14ac:dyDescent="0.25">
      <c r="B149" s="49" t="s">
        <v>444</v>
      </c>
      <c r="C149" s="79"/>
      <c r="D149" s="82" t="s">
        <v>445</v>
      </c>
      <c r="E149" s="49"/>
      <c r="F149" s="49"/>
      <c r="G149" s="49"/>
      <c r="H149" s="49"/>
      <c r="I149" s="49"/>
      <c r="J149" s="49"/>
      <c r="K149" s="49"/>
      <c r="L149" s="49"/>
      <c r="M149" s="49"/>
      <c r="N149" s="49"/>
    </row>
    <row r="150" spans="2:14" x14ac:dyDescent="0.25">
      <c r="B150" s="49" t="s">
        <v>446</v>
      </c>
      <c r="C150" s="49">
        <v>1603</v>
      </c>
      <c r="D150" s="49" t="s">
        <v>454</v>
      </c>
      <c r="E150" s="49"/>
      <c r="F150" s="49"/>
      <c r="G150" s="49"/>
      <c r="H150" s="49"/>
      <c r="I150" s="49"/>
      <c r="J150" s="49"/>
      <c r="K150" s="49"/>
      <c r="L150" s="49"/>
      <c r="M150" s="49"/>
      <c r="N150" s="49"/>
    </row>
    <row r="151" spans="2:14" x14ac:dyDescent="0.25">
      <c r="B151" s="49" t="s">
        <v>43</v>
      </c>
      <c r="C151" s="49">
        <v>2237</v>
      </c>
      <c r="D151" s="49" t="s">
        <v>454</v>
      </c>
      <c r="E151" s="49"/>
      <c r="F151" s="49"/>
      <c r="G151" s="49"/>
      <c r="H151" s="49"/>
      <c r="I151" s="49"/>
      <c r="J151" s="49"/>
      <c r="K151" s="49"/>
      <c r="L151" s="49"/>
      <c r="M151" s="49"/>
      <c r="N151" s="49"/>
    </row>
    <row r="152" spans="2:14" x14ac:dyDescent="0.25">
      <c r="B152" s="49" t="s">
        <v>447</v>
      </c>
      <c r="C152" s="79"/>
      <c r="D152" s="49"/>
      <c r="E152" s="49"/>
      <c r="F152" s="49"/>
      <c r="G152" s="49"/>
      <c r="H152" s="49"/>
      <c r="I152" s="49"/>
      <c r="J152" s="49"/>
      <c r="K152" s="49"/>
      <c r="L152" s="49"/>
      <c r="M152" s="49"/>
      <c r="N152" s="49"/>
    </row>
    <row r="153" spans="2:14" x14ac:dyDescent="0.25">
      <c r="B153" s="49" t="s">
        <v>448</v>
      </c>
      <c r="C153" s="79"/>
      <c r="D153" s="49"/>
      <c r="E153" s="49"/>
      <c r="F153" s="49"/>
      <c r="G153" s="49"/>
      <c r="H153" s="49"/>
      <c r="I153" s="49"/>
      <c r="J153" s="49"/>
      <c r="K153" s="49"/>
      <c r="L153" s="49"/>
      <c r="M153" s="49"/>
      <c r="N153" s="49"/>
    </row>
    <row r="154" spans="2:14" x14ac:dyDescent="0.25">
      <c r="B154" s="49" t="s">
        <v>565</v>
      </c>
      <c r="C154" s="79"/>
      <c r="D154" s="49"/>
      <c r="E154" s="49"/>
      <c r="F154" s="49"/>
      <c r="G154" s="49"/>
      <c r="H154" s="49"/>
      <c r="I154" s="49"/>
      <c r="J154" s="49"/>
      <c r="K154" s="49"/>
      <c r="L154" s="49"/>
      <c r="M154" s="49"/>
      <c r="N154" s="49"/>
    </row>
    <row r="155" spans="2:14" x14ac:dyDescent="0.25">
      <c r="B155" s="49" t="s">
        <v>566</v>
      </c>
      <c r="C155" s="79"/>
      <c r="D155" s="49"/>
      <c r="E155" s="49"/>
      <c r="F155" s="49"/>
      <c r="G155" s="49"/>
      <c r="H155" s="49"/>
      <c r="I155" s="49"/>
      <c r="J155" s="49"/>
      <c r="K155" s="49"/>
      <c r="L155" s="49"/>
      <c r="M155" s="49"/>
      <c r="N155" s="49"/>
    </row>
    <row r="156" spans="2:14" x14ac:dyDescent="0.25">
      <c r="B156" s="49" t="s">
        <v>450</v>
      </c>
      <c r="C156" s="49">
        <v>2237</v>
      </c>
      <c r="D156" s="80" t="s">
        <v>567</v>
      </c>
      <c r="E156" s="49"/>
      <c r="F156" s="49"/>
      <c r="G156" s="49"/>
      <c r="H156" s="49"/>
      <c r="I156" s="49"/>
      <c r="J156" s="49"/>
      <c r="K156" s="49"/>
      <c r="L156" s="49"/>
      <c r="M156" s="49"/>
      <c r="N156" s="49"/>
    </row>
    <row r="157" spans="2:14" x14ac:dyDescent="0.25">
      <c r="B157" s="49" t="s">
        <v>568</v>
      </c>
      <c r="C157" s="49">
        <f>2237*2/12</f>
        <v>372.83333333333331</v>
      </c>
      <c r="D157" s="49" t="s">
        <v>569</v>
      </c>
      <c r="E157" s="49"/>
      <c r="F157" s="49"/>
      <c r="G157" s="49"/>
      <c r="H157" s="49"/>
      <c r="I157" s="49"/>
      <c r="J157" s="49"/>
      <c r="K157" s="49"/>
      <c r="L157" s="49"/>
      <c r="M157" s="49"/>
      <c r="N157" s="49"/>
    </row>
    <row r="158" spans="2:14" x14ac:dyDescent="0.25">
      <c r="B158" s="49"/>
      <c r="C158" s="79"/>
      <c r="D158" s="49"/>
      <c r="E158" s="49"/>
      <c r="F158" s="49"/>
      <c r="G158" s="49"/>
      <c r="H158" s="49"/>
      <c r="I158" s="49"/>
      <c r="J158" s="49"/>
      <c r="K158" s="49"/>
      <c r="L158" s="49"/>
      <c r="M158" s="49"/>
      <c r="N158" s="49"/>
    </row>
    <row r="159" spans="2:14" x14ac:dyDescent="0.25">
      <c r="B159" s="49" t="s">
        <v>452</v>
      </c>
      <c r="C159" s="79"/>
      <c r="D159" s="49"/>
      <c r="E159" s="49"/>
      <c r="F159" s="49"/>
      <c r="G159" s="81" t="s">
        <v>453</v>
      </c>
      <c r="H159" s="49"/>
      <c r="I159" s="49"/>
      <c r="J159" s="49"/>
      <c r="K159" s="49"/>
      <c r="L159" s="49"/>
      <c r="M159" s="49"/>
      <c r="N159" s="49"/>
    </row>
    <row r="160" spans="2:14" x14ac:dyDescent="0.25">
      <c r="B160" s="49"/>
      <c r="C160" s="79"/>
      <c r="D160" s="49"/>
      <c r="E160" s="49"/>
      <c r="F160" s="49"/>
      <c r="G160" s="49"/>
      <c r="H160" s="49"/>
      <c r="I160" s="49"/>
      <c r="J160" s="49"/>
      <c r="K160" s="49"/>
      <c r="L160" s="49"/>
      <c r="M160" s="49"/>
      <c r="N160" s="49"/>
    </row>
    <row r="161" spans="2:6" x14ac:dyDescent="0.25">
      <c r="B161" s="31" t="s">
        <v>489</v>
      </c>
    </row>
    <row r="162" spans="2:6" x14ac:dyDescent="0.25">
      <c r="B162" s="6" t="s">
        <v>165</v>
      </c>
      <c r="C162" s="6" t="s">
        <v>245</v>
      </c>
      <c r="D162" s="6" t="s">
        <v>250</v>
      </c>
    </row>
    <row r="163" spans="2:6" x14ac:dyDescent="0.25">
      <c r="B163" s="6" t="s">
        <v>37</v>
      </c>
      <c r="C163" s="7" t="s">
        <v>167</v>
      </c>
      <c r="D163" s="6" t="s">
        <v>56</v>
      </c>
    </row>
    <row r="164" spans="2:6" x14ac:dyDescent="0.25">
      <c r="B164" s="6" t="s">
        <v>490</v>
      </c>
      <c r="C164" s="7" t="s">
        <v>492</v>
      </c>
      <c r="D164" s="40">
        <v>0.8</v>
      </c>
      <c r="F164" s="102" t="s">
        <v>571</v>
      </c>
    </row>
    <row r="165" spans="2:6" x14ac:dyDescent="0.25">
      <c r="B165" s="6" t="s">
        <v>491</v>
      </c>
      <c r="C165" s="7" t="s">
        <v>492</v>
      </c>
      <c r="D165" s="40">
        <v>1</v>
      </c>
    </row>
    <row r="166" spans="2:6" ht="105" x14ac:dyDescent="0.25">
      <c r="B166" s="6" t="s">
        <v>493</v>
      </c>
      <c r="C166" s="7" t="s">
        <v>494</v>
      </c>
      <c r="D166" s="6">
        <v>0</v>
      </c>
      <c r="E166" s="1" t="s">
        <v>496</v>
      </c>
    </row>
    <row r="167" spans="2:6" ht="45" x14ac:dyDescent="0.25">
      <c r="B167" s="6" t="s">
        <v>495</v>
      </c>
      <c r="C167" s="7" t="s">
        <v>572</v>
      </c>
      <c r="D167" s="6">
        <f>2237*D164</f>
        <v>1789.6000000000001</v>
      </c>
      <c r="E167" s="1" t="s">
        <v>496</v>
      </c>
    </row>
    <row r="170" spans="2:6" x14ac:dyDescent="0.25">
      <c r="B170" s="26" t="s">
        <v>497</v>
      </c>
    </row>
    <row r="171" spans="2:6" x14ac:dyDescent="0.25">
      <c r="B171" s="49" t="s">
        <v>573</v>
      </c>
    </row>
    <row r="172" spans="2:6" x14ac:dyDescent="0.25">
      <c r="B172" s="49" t="s">
        <v>498</v>
      </c>
    </row>
    <row r="173" spans="2:6" x14ac:dyDescent="0.25">
      <c r="B173" s="49" t="s">
        <v>504</v>
      </c>
    </row>
    <row r="176" spans="2:6" x14ac:dyDescent="0.25">
      <c r="B176" s="31" t="s">
        <v>499</v>
      </c>
    </row>
    <row r="177" spans="2:4" x14ac:dyDescent="0.25">
      <c r="B177" s="6" t="s">
        <v>165</v>
      </c>
      <c r="C177" s="6" t="s">
        <v>245</v>
      </c>
      <c r="D177" s="6" t="s">
        <v>250</v>
      </c>
    </row>
    <row r="178" spans="2:4" x14ac:dyDescent="0.25">
      <c r="B178" s="6" t="s">
        <v>55</v>
      </c>
      <c r="C178" s="7" t="s">
        <v>167</v>
      </c>
      <c r="D178" s="6" t="s">
        <v>56</v>
      </c>
    </row>
    <row r="179" spans="2:4" x14ac:dyDescent="0.25">
      <c r="B179" s="6" t="s">
        <v>491</v>
      </c>
      <c r="C179" s="7" t="s">
        <v>492</v>
      </c>
      <c r="D179" s="40">
        <v>1</v>
      </c>
    </row>
    <row r="180" spans="2:4" ht="120" x14ac:dyDescent="0.25">
      <c r="B180" s="7" t="s">
        <v>574</v>
      </c>
      <c r="C180" s="7" t="s">
        <v>505</v>
      </c>
      <c r="D180" s="6">
        <v>0</v>
      </c>
    </row>
    <row r="181" spans="2:4" x14ac:dyDescent="0.25">
      <c r="B181" s="103" t="s">
        <v>506</v>
      </c>
      <c r="C181" s="7"/>
      <c r="D181" s="6"/>
    </row>
    <row r="183" spans="2:4" x14ac:dyDescent="0.25">
      <c r="B183" s="56"/>
    </row>
    <row r="196" spans="1:4" x14ac:dyDescent="0.25">
      <c r="A196" s="15"/>
      <c r="B196" s="85" t="s">
        <v>517</v>
      </c>
      <c r="D196" s="1" t="s">
        <v>14</v>
      </c>
    </row>
    <row r="197" spans="1:4" x14ac:dyDescent="0.25">
      <c r="A197" s="15"/>
      <c r="B197" s="86" t="s">
        <v>518</v>
      </c>
    </row>
    <row r="198" spans="1:4" x14ac:dyDescent="0.25">
      <c r="A198" s="15"/>
      <c r="B198" s="86"/>
    </row>
    <row r="199" spans="1:4" x14ac:dyDescent="0.25">
      <c r="B199" s="6" t="s">
        <v>107</v>
      </c>
      <c r="C199" s="6" t="s">
        <v>195</v>
      </c>
      <c r="D199" s="1">
        <v>10000</v>
      </c>
    </row>
    <row r="200" spans="1:4" x14ac:dyDescent="0.25">
      <c r="B200" s="6" t="s">
        <v>519</v>
      </c>
      <c r="C200" s="6" t="s">
        <v>520</v>
      </c>
      <c r="D200" s="1">
        <f>D199*3</f>
        <v>30000</v>
      </c>
    </row>
    <row r="202" spans="1:4" x14ac:dyDescent="0.25">
      <c r="B202" s="1" t="s">
        <v>591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יהודית שרגא</cp:lastModifiedBy>
  <dcterms:created xsi:type="dcterms:W3CDTF">2023-03-11T21:09:29Z</dcterms:created>
  <dcterms:modified xsi:type="dcterms:W3CDTF">2023-05-08T11:53:50Z</dcterms:modified>
</cp:coreProperties>
</file>