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avid05\Documents\ITI-901\INTEGRADORA\2DO PARCIAL\ACTIVIDADES\04_VinosLicoresGus\Reporte\Anexos\"/>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B40" i="2" s="1"/>
  <c r="A39" i="2"/>
  <c r="E39" i="2" s="1"/>
  <c r="A38" i="2"/>
  <c r="A37" i="2"/>
  <c r="E37" i="2" s="1"/>
  <c r="A36" i="2"/>
  <c r="E36" i="2" s="1"/>
  <c r="A35" i="2"/>
  <c r="D35" i="2" s="1"/>
  <c r="A34" i="2"/>
  <c r="A33" i="2"/>
  <c r="B33" i="2" s="1"/>
  <c r="A32" i="2"/>
  <c r="C32" i="2" s="1"/>
  <c r="A31" i="2"/>
  <c r="B35" i="5" s="1"/>
  <c r="A30" i="2"/>
  <c r="B30" i="2" s="1"/>
  <c r="A29" i="2"/>
  <c r="B33" i="5" s="1"/>
  <c r="A28" i="2"/>
  <c r="B28" i="2" s="1"/>
  <c r="A27" i="2"/>
  <c r="E27" i="2" s="1"/>
  <c r="A26" i="2"/>
  <c r="C26" i="2" s="1"/>
  <c r="A25" i="2"/>
  <c r="B25" i="2" s="1"/>
  <c r="A24" i="2"/>
  <c r="C24" i="2" s="1"/>
  <c r="A23" i="2"/>
  <c r="E23" i="2" s="1"/>
  <c r="A22" i="2"/>
  <c r="B22" i="2" s="1"/>
  <c r="A21" i="2"/>
  <c r="E21" i="2" s="1"/>
  <c r="A20" i="2"/>
  <c r="C20" i="2" s="1"/>
  <c r="A19" i="2"/>
  <c r="C19" i="2" s="1"/>
  <c r="A18" i="2"/>
  <c r="B18" i="2" s="1"/>
  <c r="A17" i="2"/>
  <c r="B17" i="2" s="1"/>
  <c r="A16" i="2"/>
  <c r="C16" i="2" s="1"/>
  <c r="A15" i="2"/>
  <c r="E15" i="2" s="1"/>
  <c r="A14" i="2"/>
  <c r="C14" i="2" s="1"/>
  <c r="A13" i="2"/>
  <c r="E13" i="2" s="1"/>
  <c r="A12" i="2"/>
  <c r="E12" i="2"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B34" i="2"/>
  <c r="C34" i="2"/>
  <c r="D34" i="2"/>
  <c r="E34" i="2"/>
  <c r="G34" i="2"/>
  <c r="I34" i="2"/>
  <c r="J34" i="2"/>
  <c r="I35" i="2"/>
  <c r="C37" i="2"/>
  <c r="I37" i="2"/>
  <c r="B38" i="2"/>
  <c r="C38" i="2"/>
  <c r="D38" i="2"/>
  <c r="E38" i="2"/>
  <c r="G38" i="2"/>
  <c r="I38" i="2"/>
  <c r="J38"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I38" i="5"/>
  <c r="K38" i="5"/>
  <c r="L38" i="5"/>
  <c r="I39" i="5"/>
  <c r="K39" i="5"/>
  <c r="L39" i="5"/>
  <c r="I40" i="5"/>
  <c r="K40" i="5"/>
  <c r="L40" i="5"/>
  <c r="I41" i="5"/>
  <c r="K41" i="5"/>
  <c r="L41" i="5"/>
  <c r="I42" i="5"/>
  <c r="K42" i="5"/>
  <c r="L42" i="5"/>
  <c r="I43" i="5"/>
  <c r="K43" i="5"/>
  <c r="L43" i="5"/>
  <c r="I44" i="5"/>
  <c r="K44" i="5"/>
  <c r="L44" i="5"/>
  <c r="I45" i="5"/>
  <c r="K45" i="5"/>
  <c r="L45" i="5"/>
  <c r="B43" i="5" l="1"/>
  <c r="D43" i="5" s="1"/>
  <c r="D39" i="2"/>
  <c r="C35" i="2"/>
  <c r="J39" i="2"/>
  <c r="J40" i="2"/>
  <c r="D36" i="2"/>
  <c r="E40" i="2"/>
  <c r="C36" i="2"/>
  <c r="I41" i="2"/>
  <c r="D40" i="2"/>
  <c r="J36" i="2"/>
  <c r="B41" i="5"/>
  <c r="F41" i="5" s="1"/>
  <c r="I36" i="2"/>
  <c r="C33" i="2"/>
  <c r="I33" i="2"/>
  <c r="D31" i="2"/>
  <c r="E30" i="2"/>
  <c r="E28" i="2"/>
  <c r="D28" i="2"/>
  <c r="I27" i="2"/>
  <c r="B27" i="2"/>
  <c r="G26" i="2"/>
  <c r="B26" i="2"/>
  <c r="G24" i="2"/>
  <c r="B24" i="2"/>
  <c r="I39" i="2"/>
  <c r="B35" i="2"/>
  <c r="B31" i="5"/>
  <c r="I40" i="2"/>
  <c r="C40" i="2"/>
  <c r="G39" i="2"/>
  <c r="B39" i="2"/>
  <c r="G36" i="2"/>
  <c r="B36" i="2"/>
  <c r="E35" i="2"/>
  <c r="J28" i="2"/>
  <c r="C28" i="2"/>
  <c r="D27" i="2"/>
  <c r="F43" i="5"/>
  <c r="B39" i="5"/>
  <c r="C39" i="5" s="1"/>
  <c r="C39" i="2"/>
  <c r="G35" i="2"/>
  <c r="G27" i="2"/>
  <c r="G40" i="2"/>
  <c r="J35" i="2"/>
  <c r="J31" i="2"/>
  <c r="I28" i="2"/>
  <c r="J27" i="2"/>
  <c r="C27" i="2"/>
  <c r="I24" i="2"/>
  <c r="E24" i="2"/>
  <c r="J24" i="2"/>
  <c r="D24" i="2"/>
  <c r="D23" i="2"/>
  <c r="B27" i="5"/>
  <c r="J23" i="2"/>
  <c r="E22" i="2"/>
  <c r="E20" i="2"/>
  <c r="G20" i="2"/>
  <c r="D20" i="2"/>
  <c r="J20" i="2"/>
  <c r="B20" i="2"/>
  <c r="J15" i="2"/>
  <c r="D15" i="2"/>
  <c r="G14" i="2"/>
  <c r="B14" i="2"/>
  <c r="G32" i="2"/>
  <c r="B32" i="2"/>
  <c r="E32" i="2"/>
  <c r="J32" i="2"/>
  <c r="D32" i="2"/>
  <c r="I32" i="2"/>
  <c r="I31" i="2"/>
  <c r="C31" i="2"/>
  <c r="C35" i="5" s="1"/>
  <c r="G31" i="2"/>
  <c r="B31" i="2"/>
  <c r="E31" i="2"/>
  <c r="D30" i="2"/>
  <c r="I30" i="2"/>
  <c r="C30" i="2"/>
  <c r="J30" i="2"/>
  <c r="G30" i="2"/>
  <c r="I29" i="2"/>
  <c r="C29" i="2"/>
  <c r="C33" i="5" s="1"/>
  <c r="G28" i="2"/>
  <c r="J26" i="2"/>
  <c r="D26" i="2"/>
  <c r="E26" i="2"/>
  <c r="I26" i="2"/>
  <c r="C25" i="2"/>
  <c r="I25" i="2"/>
  <c r="I23" i="2"/>
  <c r="C23" i="2"/>
  <c r="G23" i="2"/>
  <c r="B23" i="2"/>
  <c r="J22" i="2"/>
  <c r="I22" i="2"/>
  <c r="C22" i="2"/>
  <c r="D22" i="2"/>
  <c r="G22" i="2"/>
  <c r="C21" i="2"/>
  <c r="I21" i="2"/>
  <c r="B25" i="5"/>
  <c r="I20" i="2"/>
  <c r="J19" i="2"/>
  <c r="D19" i="2"/>
  <c r="B23" i="5"/>
  <c r="G19" i="2"/>
  <c r="B19" i="2"/>
  <c r="E19" i="2"/>
  <c r="I19" i="2"/>
  <c r="E18" i="2"/>
  <c r="G18" i="2"/>
  <c r="J18" i="2"/>
  <c r="D18" i="2"/>
  <c r="C18" i="2"/>
  <c r="I18" i="2"/>
  <c r="G17" i="2"/>
  <c r="G16" i="2"/>
  <c r="B16" i="2"/>
  <c r="E16" i="2"/>
  <c r="J16" i="2"/>
  <c r="D16" i="2"/>
  <c r="I16" i="2"/>
  <c r="I15" i="2"/>
  <c r="C15" i="2"/>
  <c r="B19" i="5"/>
  <c r="G15" i="2"/>
  <c r="B15" i="2"/>
  <c r="E14" i="2"/>
  <c r="J14" i="2"/>
  <c r="D14" i="2"/>
  <c r="I14"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E27" i="5" s="1"/>
  <c r="H27" i="2"/>
  <c r="F27" i="2" s="1"/>
  <c r="H29" i="10" s="1"/>
  <c r="H31" i="2"/>
  <c r="E35" i="5" s="1"/>
  <c r="H35" i="2"/>
  <c r="F35" i="2" s="1"/>
  <c r="H37" i="10" s="1"/>
  <c r="H39" i="2"/>
  <c r="F39" i="2"/>
  <c r="H41" i="10" s="1"/>
  <c r="C41" i="5"/>
  <c r="H21" i="2"/>
  <c r="G25" i="5" s="1"/>
  <c r="H37" i="2"/>
  <c r="G41" i="5" s="1"/>
  <c r="E41" i="2"/>
  <c r="J41" i="2"/>
  <c r="D41" i="2"/>
  <c r="J37" i="2"/>
  <c r="D37" i="2"/>
  <c r="J33" i="2"/>
  <c r="D33" i="2"/>
  <c r="J29" i="2"/>
  <c r="D29" i="2"/>
  <c r="J25" i="2"/>
  <c r="D25" i="2"/>
  <c r="J21" i="2"/>
  <c r="D21" i="2"/>
  <c r="I17" i="2"/>
  <c r="C17" i="2"/>
  <c r="I13" i="2"/>
  <c r="C13" i="2"/>
  <c r="D41" i="5"/>
  <c r="C23" i="5"/>
  <c r="E39" i="5"/>
  <c r="H12" i="2"/>
  <c r="G16" i="5" s="1"/>
  <c r="B16" i="5"/>
  <c r="H16" i="2"/>
  <c r="G20" i="5" s="1"/>
  <c r="B20" i="5"/>
  <c r="H20" i="2"/>
  <c r="G24" i="5" s="1"/>
  <c r="B24" i="5"/>
  <c r="H24" i="2"/>
  <c r="G28" i="5" s="1"/>
  <c r="B28" i="5"/>
  <c r="H28" i="2"/>
  <c r="G32" i="5" s="1"/>
  <c r="B32" i="5"/>
  <c r="H32" i="2"/>
  <c r="G36" i="5" s="1"/>
  <c r="B36" i="5"/>
  <c r="H36" i="2"/>
  <c r="G40" i="5" s="1"/>
  <c r="B40" i="5"/>
  <c r="H40" i="2"/>
  <c r="G44" i="5" s="1"/>
  <c r="B44" i="5"/>
  <c r="E41" i="5" l="1"/>
  <c r="C27" i="5"/>
  <c r="C17" i="5"/>
  <c r="C31" i="5"/>
  <c r="F36" i="2"/>
  <c r="H38" i="10" s="1"/>
  <c r="F34" i="2"/>
  <c r="H36" i="10" s="1"/>
  <c r="F33" i="2"/>
  <c r="H35" i="10" s="1"/>
  <c r="F30" i="2"/>
  <c r="H32" i="10" s="1"/>
  <c r="F29" i="2"/>
  <c r="H31" i="10" s="1"/>
  <c r="M33" i="5"/>
  <c r="E33" i="5"/>
  <c r="F25" i="5"/>
  <c r="D39" i="5"/>
  <c r="F39" i="5"/>
  <c r="E31" i="5"/>
  <c r="F25" i="2"/>
  <c r="H27" i="10" s="1"/>
  <c r="F23" i="2"/>
  <c r="H25" i="10" s="1"/>
  <c r="E25" i="5"/>
  <c r="F20" i="2"/>
  <c r="H22" i="10" s="1"/>
  <c r="E23" i="5"/>
  <c r="E19" i="5"/>
  <c r="F14" i="2"/>
  <c r="H16" i="10" s="1"/>
  <c r="F31" i="2"/>
  <c r="H33" i="10" s="1"/>
  <c r="F28" i="2"/>
  <c r="H30" i="10" s="1"/>
  <c r="F26" i="2"/>
  <c r="H28" i="10" s="1"/>
  <c r="C25" i="5"/>
  <c r="F18" i="2"/>
  <c r="H20" i="10" s="1"/>
  <c r="C19" i="5"/>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<sst xmlns="http://schemas.openxmlformats.org/spreadsheetml/2006/main" count="2508" uniqueCount="416">
  <si>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</si>
  <si>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</si>
  <si>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</si>
  <si>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</si>
  <si>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</si>
  <si>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</si>
  <si>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</si>
  <si>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</si>
  <si>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</si>
  <si>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</si>
  <si>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</si>
  <si>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</si>
  <si>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</si>
  <si>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</si>
  <si>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</si>
  <si>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</si>
  <si>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</si>
  <si>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</si>
  <si>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</si>
  <si>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</si>
  <si>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</si>
  <si>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</si>
  <si>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</si>
  <si>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</si>
  <si>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</si>
  <si>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</si>
  <si>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</si>
  <si>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</si>
  <si>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</si>
  <si>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</si>
  <si>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</si>
  <si>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</si>
  <si>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</si>
  <si>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</si>
  <si>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</si>
  <si>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</si>
  <si>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</si>
  <si>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</si>
  <si>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</si>
  <si>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</si>
  <si>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</si>
  <si>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</si>
  <si>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</si>
  <si>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</si>
  <si>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</si>
  <si>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</si>
  <si>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</si>
  <si>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</si>
  <si>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</si>
  <si>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</si>
  <si>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</si>
  <si>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</si>
  <si>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</si>
  <si>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</si>
  <si>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</si>
  <si>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</si>
  <si>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</si>
  <si>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</si>
  <si>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</si>
  <si>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</si>
  <si>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</si>
  <si>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</si>
  <si>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</si>
  <si>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</si>
  <si>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</si>
  <si>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</si>
  <si>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</si>
  <si>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</si>
  <si>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</si>
  <si>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</si>
  <si>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</si>
  <si>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</si>
  <si>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</si>
  <si>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</si>
  <si>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</si>
  <si>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</si>
  <si>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</si>
  <si>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</si>
  <si>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</si>
  <si>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</si>
  <si>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</si>
  <si>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</si>
  <si>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</si>
  <si>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</si>
  <si>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</si>
  <si>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</si>
  <si>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</si>
  <si>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</si>
  <si>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</si>
  <si>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</si>
  <si>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</si>
  <si>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</si>
  <si>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</si>
  <si>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</si>
  <si>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</si>
  <si>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</si>
  <si>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</si>
  <si>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</si>
  <si>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</si>
  <si>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</si>
  <si>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</si>
  <si>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</si>
  <si>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</si>
  <si>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</si>
  <si>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</si>
  <si>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</si>
  <si>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</si>
  <si>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</si>
  <si>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</si>
  <si>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</si>
  <si>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</si>
  <si>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</si>
  <si>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</si>
  <si>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</si>
  <si>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</si>
  <si>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</si>
  <si>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</si>
  <si>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</si>
  <si>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</si>
  <si>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</si>
  <si>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</si>
  <si>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</si>
  <si>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</si>
  <si>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</si>
  <si>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</si>
  <si>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</si>
  <si>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</si>
  <si>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</si>
  <si>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</si>
  <si>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</si>
  <si>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</si>
  <si>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</si>
  <si>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</si>
  <si>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</si>
  <si>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</si>
  <si>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</si>
  <si>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</si>
  <si>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</si>
  <si>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</si>
  <si>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</si>
  <si>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</si>
  <si>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</si>
  <si>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</si>
  <si>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</si>
  <si>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</si>
  <si>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</si>
  <si>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</si>
  <si>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</si>
  <si>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</si>
  <si>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</si>
  <si>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</si>
  <si>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</si>
  <si>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</si>
  <si>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</si>
  <si>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</si>
  <si>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</si>
  <si>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</si>
  <si>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</si>
  <si>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</si>
  <si>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</si>
  <si>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</si>
  <si>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</si>
  <si>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</si>
  <si>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</si>
  <si>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</si>
  <si>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</si>
  <si>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</si>
  <si>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</si>
  <si>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</si>
  <si>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</si>
  <si>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</si>
  <si>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</si>
  <si>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</si>
  <si>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</si>
  <si>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</si>
  <si>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</si>
  <si>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</si>
  <si>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</si>
  <si>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</si>
  <si>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</si>
  <si>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</si>
  <si>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</si>
  <si>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</si>
  <si>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</si>
  <si>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</si>
  <si>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</si>
  <si>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</si>
  <si>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</si>
  <si>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</si>
  <si>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</si>
  <si>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</si>
  <si>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</si>
  <si>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</si>
  <si>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</si>
  <si>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</si>
  <si>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</si>
  <si>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</si>
  <si>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</si>
  <si>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</si>
  <si>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</si>
  <si>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</si>
  <si>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</si>
  <si>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</si>
  <si>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</si>
  <si>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</si>
  <si>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</si>
  <si>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</si>
  <si>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</si>
  <si>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</si>
  <si>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</si>
  <si>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</si>
  <si>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</si>
  <si>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</si>
  <si>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</si>
  <si>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</si>
  <si>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</si>
  <si>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</si>
  <si>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</si>
  <si>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</si>
  <si>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</si>
  <si>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</si>
  <si>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</si>
  <si>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</si>
  <si>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</si>
  <si>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</si>
  <si>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</si>
  <si>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</si>
  <si>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</si>
  <si>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</si>
  <si>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</si>
  <si>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</si>
  <si>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</si>
  <si>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</si>
  <si>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</si>
  <si>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</si>
  <si>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</si>
  <si>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</si>
  <si>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</si>
  <si>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</si>
  <si>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</si>
  <si>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</si>
  <si>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</si>
  <si>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</si>
  <si>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</si>
  <si>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Aceptar</t>
  </si>
  <si>
    <t>Req</t>
  </si>
  <si>
    <t>El producto no cuenta con las especificaciones del cliente. Retraso en la planeación. Diseño s imperfectos.</t>
  </si>
  <si>
    <t>Los requerimientos son las especificaciones del usuario, por lo cual se debe de comprender para el logro de los objetivos del proyecto.</t>
  </si>
  <si>
    <t>RG_019</t>
  </si>
  <si>
    <t>Media</t>
  </si>
  <si>
    <t>Las instalaciones no estan disponibles a tiempo.</t>
  </si>
  <si>
    <t>RG_001</t>
  </si>
  <si>
    <t>2.3.5.1</t>
  </si>
  <si>
    <t>Conflictos entre miembros del equipo.</t>
  </si>
  <si>
    <t>No hay suficiente personal disponible para el proyecto.</t>
  </si>
  <si>
    <t>El usuario se involucra demasiado en el desarrollo.</t>
  </si>
  <si>
    <t>El usuario abandona el proyecto.</t>
  </si>
  <si>
    <t>El usuario rechaza el proyecto final.</t>
  </si>
  <si>
    <t>No existen procesos de monitoreo de las áreas.</t>
  </si>
  <si>
    <t>Pobre aseguramiento de calidad.</t>
  </si>
  <si>
    <t>Seguimiento inexacto del proceso.</t>
  </si>
  <si>
    <t>Inclemencias meteorológicas.</t>
  </si>
  <si>
    <t>Inflación.</t>
  </si>
  <si>
    <t>Los requerimientos no siguen normativas</t>
  </si>
  <si>
    <t>Excesiva carga de trabajo</t>
  </si>
  <si>
    <t>Excesiva presion de calendario</t>
  </si>
  <si>
    <t>No existe un proceso para la selección de recursos</t>
  </si>
  <si>
    <t>El usuario no se involucra en el proyecto.</t>
  </si>
  <si>
    <t>Mitigar</t>
  </si>
  <si>
    <t>YSCG</t>
  </si>
  <si>
    <t>RG_003</t>
  </si>
  <si>
    <t>Rec</t>
  </si>
  <si>
    <t>Prevenir</t>
  </si>
  <si>
    <t>RG_021</t>
  </si>
  <si>
    <t>RG_002</t>
  </si>
  <si>
    <t>Mal ambiente de trabajo, estrés en los miembros y mal desempeño.</t>
  </si>
  <si>
    <t>Ext</t>
  </si>
  <si>
    <t>Identificar las causas de los conflictos</t>
  </si>
  <si>
    <t>Reunir a los miembros involucrados en el conflicto.</t>
  </si>
  <si>
    <t>Brindar solución al conflicto.</t>
  </si>
  <si>
    <t xml:space="preserve">Llamarle la atención a los causantes del conflicto. </t>
  </si>
  <si>
    <t>El proceso de selección de personal tarda más de lo planeado.</t>
  </si>
  <si>
    <t>RG_004</t>
  </si>
  <si>
    <t>Cal</t>
  </si>
  <si>
    <t>Retraso en tiempos y aumento en costos del desarrollo del proyecto.</t>
  </si>
  <si>
    <t>RG_005</t>
  </si>
  <si>
    <t>Identificar la cantidad de personal existente.</t>
  </si>
  <si>
    <t>Sobrecargar al personal con más de un rol.</t>
  </si>
  <si>
    <t>RG_006</t>
  </si>
  <si>
    <t xml:space="preserve">El proyecto no avanza a etapas de desarrollo, genera incremento de tiempo y costos. </t>
  </si>
  <si>
    <t xml:space="preserve">Los requerimientos se establecen en etapas de analisis, restringuiendo en el alcance del proyecto modificaciones después de ser aprobados para el pleno desarrollo del proyecto inical. </t>
  </si>
  <si>
    <t>RG_007</t>
  </si>
  <si>
    <t>Proc</t>
  </si>
  <si>
    <t>Presión para el equipo de trabajo y solicitudes de cambios constantes en el proyecto.</t>
  </si>
  <si>
    <t>RG_008</t>
  </si>
  <si>
    <t xml:space="preserve">El usuario firma un contrato de cumplimiento, por lo cual si abandona el proyecto se ve obligado a cubrir los gastos de dicho proyecto. </t>
  </si>
  <si>
    <t>RG_009</t>
  </si>
  <si>
    <t>Perdidas de tiempo, económicas y de clientes.</t>
  </si>
  <si>
    <t xml:space="preserve">El usuario rechaza el proyecto debido a inconsistencias de funcionamiento o bien incumplimiento de funcionalidades. </t>
  </si>
  <si>
    <t xml:space="preserve">Identificar las razones del rechazo del proyecto. </t>
  </si>
  <si>
    <t>Brindar soluciones a inconsistencias.</t>
  </si>
  <si>
    <t>Entregar el proyecto a un menor precio para no tener perdidas totales.</t>
  </si>
  <si>
    <t>Si no existen inconsistencias comprobar los objetivos iniciales del proyecto.</t>
  </si>
  <si>
    <t xml:space="preserve">Demandar al usuario si rechaza el proyecto sin motivos. </t>
  </si>
  <si>
    <t>RG_010</t>
  </si>
  <si>
    <t xml:space="preserve">Las áreas deben estar en constante monitoreo para la comprobación de las actividades de cada una de ellas. </t>
  </si>
  <si>
    <t>RG_011</t>
  </si>
  <si>
    <t xml:space="preserve">Los resultados de actividad o etapa no cumplen con las espectativas debido a que no se asegura la calidad durante el proceso. </t>
  </si>
  <si>
    <t xml:space="preserve">Para que los procesos y las activiades sean calificados como productos de calidad, se deben seguir normas de calidad, de igual forma asegurar que estas se cumplan en cada proceso. </t>
  </si>
  <si>
    <t>Identificar las normas aplicables al proyecto</t>
  </si>
  <si>
    <t xml:space="preserve">Dar seguimiento a las normas en los distintos procesos o áreas. </t>
  </si>
  <si>
    <t>Asegurar la calidad del proyecto.</t>
  </si>
  <si>
    <t>RG_012</t>
  </si>
  <si>
    <t xml:space="preserve">Los desastres naturales no son algo que el hombre controle por lo cual estos pueden afectar en cualquier momento. </t>
  </si>
  <si>
    <t>Respaldar toda la información en internet.</t>
  </si>
  <si>
    <t>RG_013</t>
  </si>
  <si>
    <t>RG_014</t>
  </si>
  <si>
    <t xml:space="preserve">La inflación en nuestro país es muy frecuente y las empresas se tiene que adaptar a las nuevas alzas de productos o servicios. </t>
  </si>
  <si>
    <t>RG_015</t>
  </si>
  <si>
    <t>El tiempo y costos se pueden ver afectados, debido a las modificaciones o adaptaciones que se realicen para que el proyecto sea legal.</t>
  </si>
  <si>
    <t xml:space="preserve">El gobierno es el único que puede modificar o autorizar nuevas regulaciones en la ley, por lo cual las empresas deben ajustarse a las leyes que se establecan. </t>
  </si>
  <si>
    <t>RG_016</t>
  </si>
  <si>
    <t>RG_017</t>
  </si>
  <si>
    <t>Se desfasan los tiempos y con ello se genera un incremento en el costo.</t>
  </si>
  <si>
    <t xml:space="preserve">Los requerimientos son la base para el desarrollo del proyecto, por lo cual se deben adquirir en el menor tiempo posible para continuar con el desarrollo del proyecto. </t>
  </si>
  <si>
    <t>RG_018</t>
  </si>
  <si>
    <t xml:space="preserve">Estrés, abandono y bajo rendimiento de los miembros. </t>
  </si>
  <si>
    <t>La carga excesiva de trabajo se origina en la mayoria de los proyectos de T.I, por lo cual en ocasiones es necesario tener contratistas que desarrollen parte del proyecto.</t>
  </si>
  <si>
    <t xml:space="preserve">Contratar prestamos de servicios para que desarrollen módulos del proyecto. </t>
  </si>
  <si>
    <t xml:space="preserve">Desfases de tiempo y costos. Mala calidad en los productos de cada actividad o etapas. </t>
  </si>
  <si>
    <t>La calendarización es muy importante, debido a que de esta se administra el desarrollo del proyecto.  Por lo cual se debe tratar de distribuir todas las actividades de manera adecuada.</t>
  </si>
  <si>
    <t>Presionar al equipo de trabajo para que cumpla con sus responsabilidades a tiempo.</t>
  </si>
  <si>
    <t xml:space="preserve">Motivar al equipo de trabajo. </t>
  </si>
  <si>
    <t>RG_020</t>
  </si>
  <si>
    <t xml:space="preserve">Los roles no son asignados a las personas más competentes para cumplir con la responsabilidad del rol. </t>
  </si>
  <si>
    <t>La selección de los recursos es fundamental, ya que de esta se deriva el cumplimiento de las responsabilidades de cada rol para el desarrollo del proyecto.</t>
  </si>
  <si>
    <t>No se obtienen de manera eficiente los requerimientos.</t>
  </si>
  <si>
    <t>06/17/17</t>
  </si>
  <si>
    <t>Modificación de fechas de entrega</t>
  </si>
  <si>
    <t>Sin cambios</t>
  </si>
  <si>
    <t xml:space="preserve">No se cuenta con herramientas para la gestión de planificación de tiempo, como lo son: contratos, calendario de eventos, declaraciones de alcances y herramientas de control y monitoreo (minutas y bitacoras). </t>
  </si>
  <si>
    <t xml:space="preserve">La planeación es el hecho de organizar las tareas, asignandoles una duración para su desarrollo. Por lo cual se deben de seguir para el logro de los objetivos del proyecto. </t>
  </si>
  <si>
    <t>Junio 16 2017 - Riesgo aprobado.</t>
  </si>
  <si>
    <t xml:space="preserve">Aprobar los acuerdos para la planificación. </t>
  </si>
  <si>
    <t xml:space="preserve">El proceso de costrucción de las instalaciones aún no finaliza o bien se encuentran es remodelaciones. </t>
  </si>
  <si>
    <t>El producto no cuenta con las especificaciones del cliente. Retraso en la planeación. Diseño imperfecto aumenta los costos del proyecto.</t>
  </si>
  <si>
    <t xml:space="preserve">El inicio del proyecto se prolonga, por lo cual los tiempos y costo también. </t>
  </si>
  <si>
    <t>Las instalaciones brindan espacio para trabajar, por lo cual se deben de tener en óptimas condicones y a tiempo para el logro de los objetivos del proyecto.</t>
  </si>
  <si>
    <t>Tener a disposición más de una instalación.</t>
  </si>
  <si>
    <t>Realizar los acuerdos necesarios para la planificación.</t>
  </si>
  <si>
    <t>Los trabajadores pueden laborar desde el hogar.</t>
  </si>
  <si>
    <t>No se cuenta con el mobiliario adecuado.</t>
  </si>
  <si>
    <t xml:space="preserve">Los objetivos del proyecto son muy altos, los cuales requieren de mobiliario de alto rendimiento y capacidades. </t>
  </si>
  <si>
    <t>El mobiliario obstruye el desarrollo del proyecto y se generan costos al adquirir nuevo mobiliario.</t>
  </si>
  <si>
    <t>El mobiliario siempre es eficiente, sin embargo, depende de los objetivos del proyecto, ya que de estos depende el tipo de mobiliario que se deba manejar.</t>
  </si>
  <si>
    <t xml:space="preserve">Adquirir nuevo mobiliario, siempre y cuando este al alcance cubrir los gastos. </t>
  </si>
  <si>
    <t xml:space="preserve">Agregar los gastos de las adquisiciones al costo final del proyecto </t>
  </si>
  <si>
    <t xml:space="preserve">Entregas de actividades a destiempo, lo que genera retraso para los miembros que reciben la actividad, incorformidades de respeto en áreas de trabajo y presión por parte de otros compañeros. </t>
  </si>
  <si>
    <t>El ambiente e integración es fundamental para el éxito de cualquier proyecto, por lo cual los miembros deben adaptarse a el trabajo en equipo.</t>
  </si>
  <si>
    <t xml:space="preserve">Los recursos disponibles para la selección tienen las mismas habilidades o no existen recursos que cubran las cualidades de un rol en especifico. </t>
  </si>
  <si>
    <t>El proceso de selección debe ser ágil y preciso a la hora de seleccionar a los recursos para cumplir con las fechas de desarrollo del proyecto.</t>
  </si>
  <si>
    <t xml:space="preserve">Brindar más tiempo para el proceso de selección. </t>
  </si>
  <si>
    <t xml:space="preserve">Solo considerar a los más capacitados. </t>
  </si>
  <si>
    <t xml:space="preserve">El proyecto tiene un alcance muy alto, abandono de algunos integrantes y con poco rango de tiempo para el desarrollo. </t>
  </si>
  <si>
    <t xml:space="preserve">Sobrecarga de trabajo para los recursos que cubran más de un rol. Altas en tiempo y costos. </t>
  </si>
  <si>
    <t xml:space="preserve">El personal en cualquier empresa es una parte fundamental, debido a que, son los trabajadores los que contribuyen al éxito de los proyecto,s gracias a su participación se distribuyen las actividades del proyecto. Por tal razón la cantidad de trabajadores influye en el logro del proyecto. </t>
  </si>
  <si>
    <t>El usuario introduce nuevos requerimientos.</t>
  </si>
  <si>
    <t>El usuario descrube nuevas necesidades para su proyecto después de lo establecido.</t>
  </si>
  <si>
    <t>Acordar fechas para la identificación de requerimientos.</t>
  </si>
  <si>
    <t>Aprobar fechas para la identificación de requerimientos.</t>
  </si>
  <si>
    <t>El usuario conoce de los procesos de desarrollo.</t>
  </si>
  <si>
    <t xml:space="preserve">El usuario solo se debe involucrar en lo que le consierne del proyecto ya establecido, no en las actividades del equipo de trabajo para que así se logre un pleno desarrollo. </t>
  </si>
  <si>
    <t xml:space="preserve">Rechazar solicitudes de cambio por parte del usuario si dichas peticiones modifican el alcance o reuqieren de información clasificada. </t>
  </si>
  <si>
    <t>Establecer límites de participación por parte del usuario.</t>
  </si>
  <si>
    <t>&gt; 3 meses</t>
  </si>
  <si>
    <t>El usuario se encuentra en crisis económica o problemas de salud.</t>
  </si>
  <si>
    <t>Tiempo perdido y benefios económicos para el equipo de desarrollo al romperse el contrato ya establecido.</t>
  </si>
  <si>
    <t xml:space="preserve">Respaldar por la vía legal los contratos iniciales. </t>
  </si>
  <si>
    <t>Acordar en los contratos iniciales que si existe abandono del cliente o de la empresa desarrolladora, se cubrirán los costos finales ya establecidos.</t>
  </si>
  <si>
    <t>2.10.1</t>
  </si>
  <si>
    <t xml:space="preserve">El proyecto final no cumple con lo acordado en el alcance. </t>
  </si>
  <si>
    <t>2.3.6</t>
  </si>
  <si>
    <t xml:space="preserve">No se sigue o se trabaja bajo ninguna norma de calidad. </t>
  </si>
  <si>
    <t>Las áreas no tienen control y verificación de los procesos que realizan.</t>
  </si>
  <si>
    <t>Trabajar bajo algún modelo de calidad.</t>
  </si>
  <si>
    <t xml:space="preserve">Realizar monitores constantes de las áreas. </t>
  </si>
  <si>
    <t xml:space="preserve">No se comprenden las normas o modelos de calidad que se estan utilizando. </t>
  </si>
  <si>
    <t xml:space="preserve">Los procesos se desfasan, el producto no cumple con las especificaciones del cliente y por lo tanto se generan altas en los tiempo y costos. </t>
  </si>
  <si>
    <t>El proceso de desarrollo es fundamental ya que de no hacerlo adecuadamente el proyecto no cumpliriá con las normas de calidad y las especificaciones del cliente.</t>
  </si>
  <si>
    <t>Capacitaciones de los modelos y normas de calidad que impliquen los procesos.</t>
  </si>
  <si>
    <t>Monitoreos constantes al seguimiento de los procesos.</t>
  </si>
  <si>
    <t xml:space="preserve">Se ven perjudicados los recursos materiales y posiblemente humanos. Lo cual atrasariá el desarrollo del proyecto, afectando los tiempos y costos. </t>
  </si>
  <si>
    <t>Las estaciones climatológicas del año.</t>
  </si>
  <si>
    <t>Hacer uso de recursos externos.</t>
  </si>
  <si>
    <t xml:space="preserve">Incremento en los costos de adquisiciones de productos o servicios para equipo desarrollador.  Sin afectar el costo final del proyecto debido a que se establece al inicio. </t>
  </si>
  <si>
    <t xml:space="preserve">Movimientos en la bolsa mundial de económia o reformas mal estructuradas por parte del gobierno nacional. </t>
  </si>
  <si>
    <t>Producto que depende de la ley.</t>
  </si>
  <si>
    <t>Adecuarse a los nuevos precios de productos y servicios.</t>
  </si>
  <si>
    <t>Cambios frecuentes en políticas o regulaciones de la ley debido a , reformas nacionales e internacionales en el tratado de libre comercio.</t>
  </si>
  <si>
    <t>Adecuarse a las nuevas normas establecidas.</t>
  </si>
  <si>
    <t xml:space="preserve">Se desconocen las normas para el establecimiento de calidad de los requerimientos. </t>
  </si>
  <si>
    <t>Capacitación al analista en base a la norma IEEE-830.</t>
  </si>
  <si>
    <t>Generación del SRS.</t>
  </si>
  <si>
    <t>La definición de requerimientos tarda más de lo especificado</t>
  </si>
  <si>
    <t xml:space="preserve">El usuario no sabe con claridad que es lo que quiere o el analista no esta bien capacitado para la obtención de los requerimientos. </t>
  </si>
  <si>
    <t>Capacitar al analista.</t>
  </si>
  <si>
    <t xml:space="preserve">No se tienen los recursos humanos necesarios, acumulación de actividades y corto plazo para la entrega del proyecto. </t>
  </si>
  <si>
    <t>RG_022</t>
  </si>
  <si>
    <t>Mala planificación de eventos.</t>
  </si>
  <si>
    <t xml:space="preserve">No se tiene experiencia en el proceso de selección de los recursos. </t>
  </si>
  <si>
    <t>Realizar capacitaciones.</t>
  </si>
  <si>
    <t>El usuario desconoce potencialmente el proceso de desarrollo. Solo le interesa en producto final más no el proceso.</t>
  </si>
  <si>
    <t xml:space="preserve">El usuario debe estar hasta cierto punto involucrado, por lo cual es necesario fomentar su participación para la correcta obtención de requerimientos y aprobaciones del diseño. </t>
  </si>
  <si>
    <t>Darle a conocer la matriz de responsabilidades para que este al tanto del proyecto.</t>
  </si>
  <si>
    <t>Proyecto:  Vinos Y Licores Gus.</t>
  </si>
  <si>
    <t>Repositorio: Drive/Proyecto9/Integradora/2doParcial/Acividad1/04_ConstrucciónDelSitioWeb.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</si>
</sst>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0"/>
      <name val="Arial"/>
      <family val="2"/>
    </font>
    <font>
      <sz val="11"/>
      <color rgb="FF000000"/>
      <name val="Calibri"/>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4" fillId="0" borderId="0"/>
  </cellStyleXfs>
  <cellXfs count="23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3" fillId="0" borderId="10" xfId="0" applyFont="1" applyBorder="1" applyAlignment="1">
      <alignment horizontal="center" vertical="center" wrapText="1"/>
    </xf>
    <xf numFmtId="0" fontId="0" fillId="0" borderId="10" xfId="0" applyBorder="1" applyAlignment="1">
      <alignment horizontal="center"/>
    </xf>
    <xf numFmtId="0" fontId="21" fillId="0" borderId="30" xfId="0" applyFont="1" applyBorder="1" applyAlignment="1">
      <alignment horizontal="center" vertical="center"/>
    </xf>
    <xf numFmtId="0" fontId="3" fillId="0" borderId="10" xfId="0" applyFont="1" applyBorder="1" applyAlignment="1">
      <alignment horizontal="center" wrapText="1"/>
    </xf>
    <xf numFmtId="0" fontId="3" fillId="12" borderId="10" xfId="0" applyFont="1" applyFill="1" applyBorder="1" applyAlignment="1">
      <alignment horizontal="center" wrapText="1"/>
    </xf>
    <xf numFmtId="0" fontId="3" fillId="0" borderId="0" xfId="0" applyFont="1" applyAlignment="1">
      <alignment horizontal="center" wrapText="1"/>
    </xf>
    <xf numFmtId="0" fontId="1" fillId="0" borderId="0" xfId="0" applyFont="1" applyAlignment="1">
      <alignment horizontal="center" vertical="top" wrapText="1"/>
    </xf>
    <xf numFmtId="0" fontId="3" fillId="0" borderId="0" xfId="0" applyFont="1" applyAlignment="1">
      <alignment horizontal="center" vertical="top" wrapText="1"/>
    </xf>
    <xf numFmtId="164" fontId="1" fillId="0" borderId="0" xfId="0" applyNumberFormat="1" applyFont="1" applyBorder="1" applyAlignment="1">
      <alignment horizontal="center"/>
    </xf>
    <xf numFmtId="0" fontId="1" fillId="0" borderId="0" xfId="0" applyFont="1" applyBorder="1" applyAlignment="1">
      <alignment wrapText="1"/>
    </xf>
    <xf numFmtId="0" fontId="1" fillId="0" borderId="0" xfId="0" applyNumberFormat="1"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vertical="top"/>
    </xf>
    <xf numFmtId="0" fontId="1" fillId="0" borderId="4" xfId="0" applyFont="1" applyBorder="1" applyAlignment="1">
      <alignment vertical="top" wrapText="1"/>
    </xf>
    <xf numFmtId="0" fontId="1" fillId="0" borderId="1" xfId="0" applyFont="1" applyBorder="1" applyAlignment="1">
      <alignment horizontal="center" vertical="top"/>
    </xf>
    <xf numFmtId="0" fontId="1" fillId="0" borderId="0" xfId="0" applyFont="1"/>
    <xf numFmtId="0" fontId="1" fillId="12" borderId="10" xfId="0" applyFont="1" applyFill="1" applyBorder="1" applyAlignment="1">
      <alignment horizontal="left" wrapText="1"/>
    </xf>
    <xf numFmtId="0" fontId="1" fillId="0" borderId="0" xfId="0" applyFont="1" applyAlignment="1">
      <alignment horizontal="left" vertical="top" wrapText="1"/>
    </xf>
    <xf numFmtId="0" fontId="1" fillId="0" borderId="10" xfId="0" applyFont="1" applyBorder="1" applyAlignment="1">
      <alignment horizontal="center" vertical="top" wrapText="1"/>
    </xf>
    <xf numFmtId="0" fontId="3" fillId="0" borderId="10" xfId="0" applyFont="1" applyFill="1" applyBorder="1" applyAlignment="1">
      <alignment horizontal="center" vertical="top" wrapText="1"/>
    </xf>
    <xf numFmtId="0" fontId="22" fillId="0" borderId="30" xfId="0" applyFont="1" applyBorder="1" applyAlignment="1">
      <alignment horizontal="center" vertical="center"/>
    </xf>
    <xf numFmtId="0" fontId="1" fillId="0" borderId="0" xfId="0" applyFont="1" applyAlignment="1">
      <alignment wrapText="1"/>
    </xf>
    <xf numFmtId="0" fontId="1" fillId="0" borderId="0" xfId="0" applyFont="1" applyBorder="1" applyAlignment="1">
      <alignment horizontal="center"/>
    </xf>
    <xf numFmtId="164" fontId="1"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1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3</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3</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c:v>
                </c:pt>
                <c:pt idx="1">
                  <c:v>0</c:v>
                </c:pt>
                <c:pt idx="2">
                  <c:v>6</c:v>
                </c:pt>
                <c:pt idx="3">
                  <c:v>1</c:v>
                </c:pt>
              </c:numCache>
            </c:numRef>
          </c:val>
        </c:ser>
        <c:dLbls>
          <c:showLegendKey val="0"/>
          <c:showVal val="1"/>
          <c:showCatName val="0"/>
          <c:showSerName val="0"/>
          <c:showPercent val="0"/>
          <c:showBubbleSize val="0"/>
        </c:dLbls>
        <c:gapWidth val="150"/>
        <c:shape val="box"/>
        <c:axId val="-633561408"/>
        <c:axId val="-633553248"/>
        <c:axId val="-663339984"/>
      </c:bar3DChart>
      <c:catAx>
        <c:axId val="-6335614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33553248"/>
        <c:crosses val="autoZero"/>
        <c:auto val="1"/>
        <c:lblAlgn val="ctr"/>
        <c:lblOffset val="100"/>
        <c:tickLblSkip val="1"/>
        <c:tickMarkSkip val="1"/>
        <c:noMultiLvlLbl val="1"/>
      </c:catAx>
      <c:valAx>
        <c:axId val="-6335532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33561408"/>
        <c:crosses val="max"/>
        <c:crossBetween val="between"/>
        <c:minorUnit val="1"/>
      </c:valAx>
      <c:serAx>
        <c:axId val="-6633399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335532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47625</xdr:rowOff>
    </xdr:from>
    <xdr:to>
      <xdr:col>0</xdr:col>
      <xdr:colOff>1533525</xdr:colOff>
      <xdr:row>5</xdr:row>
      <xdr:rowOff>85725</xdr:rowOff>
    </xdr:to>
    <xdr:pic>
      <xdr:nvPicPr>
        <xdr:cNvPr id="2" name="Imagen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7625"/>
          <a:ext cx="1295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10" workbookViewId="0">
      <selection activeCell="B25" sqref="B2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42903</v>
      </c>
      <c r="C11" s="197"/>
      <c r="D11" s="197"/>
    </row>
    <row r="12" spans="1:5" x14ac:dyDescent="0.2">
      <c r="A12" s="196" t="s">
        <v>223</v>
      </c>
      <c r="B12" s="214" t="s">
        <v>269</v>
      </c>
      <c r="C12" s="197"/>
      <c r="D12" s="197"/>
    </row>
    <row r="13" spans="1:5" ht="51" x14ac:dyDescent="0.2">
      <c r="A13" s="196" t="s">
        <v>224</v>
      </c>
      <c r="B13" s="197" t="s">
        <v>415</v>
      </c>
      <c r="C13" s="197"/>
      <c r="D13" s="197"/>
    </row>
    <row r="14" spans="1:5" x14ac:dyDescent="0.2">
      <c r="A14" s="196" t="s">
        <v>225</v>
      </c>
      <c r="B14" s="197" t="s">
        <v>241</v>
      </c>
      <c r="C14" s="197"/>
      <c r="D14" s="197"/>
    </row>
    <row r="15" spans="1:5" x14ac:dyDescent="0.2">
      <c r="A15" s="197"/>
      <c r="B15" s="197"/>
      <c r="C15" s="197"/>
      <c r="D15" s="197"/>
    </row>
    <row r="16" spans="1:5" ht="15.75" customHeight="1" x14ac:dyDescent="0.2">
      <c r="A16" s="232" t="s">
        <v>226</v>
      </c>
      <c r="B16" s="233"/>
      <c r="C16" s="199"/>
      <c r="D16" s="199"/>
      <c r="E16" s="200"/>
    </row>
    <row r="17" spans="1:4" x14ac:dyDescent="0.2">
      <c r="A17" s="196" t="s">
        <v>227</v>
      </c>
      <c r="B17" s="196" t="s">
        <v>228</v>
      </c>
      <c r="C17" s="197"/>
      <c r="D17" s="197"/>
    </row>
    <row r="18" spans="1:4" x14ac:dyDescent="0.2">
      <c r="A18" s="226" t="s">
        <v>269</v>
      </c>
      <c r="B18" s="198">
        <v>42903</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32" t="s">
        <v>229</v>
      </c>
      <c r="B22" s="233"/>
      <c r="C22" s="197"/>
      <c r="D22" s="197"/>
    </row>
    <row r="23" spans="1:4" x14ac:dyDescent="0.2">
      <c r="A23" s="196" t="s">
        <v>227</v>
      </c>
      <c r="B23" s="196" t="s">
        <v>230</v>
      </c>
      <c r="C23" s="197"/>
      <c r="D23" s="197"/>
    </row>
    <row r="24" spans="1:4" x14ac:dyDescent="0.2">
      <c r="A24" s="226" t="s">
        <v>269</v>
      </c>
      <c r="B24" s="198">
        <v>42903</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2" t="s">
        <v>231</v>
      </c>
      <c r="B28" s="234"/>
      <c r="C28" s="234"/>
      <c r="D28" s="233"/>
    </row>
    <row r="29" spans="1:4" x14ac:dyDescent="0.2">
      <c r="A29" s="196" t="s">
        <v>218</v>
      </c>
      <c r="B29" s="202" t="s">
        <v>222</v>
      </c>
      <c r="C29" s="202" t="s">
        <v>232</v>
      </c>
      <c r="D29" s="202" t="s">
        <v>233</v>
      </c>
    </row>
    <row r="30" spans="1:4" x14ac:dyDescent="0.2">
      <c r="A30" s="201"/>
      <c r="B30" s="198"/>
      <c r="C30" s="201"/>
      <c r="D30" s="201"/>
    </row>
    <row r="31" spans="1:4" s="201" customFormat="1" x14ac:dyDescent="0.2"/>
    <row r="32" spans="1:4" s="201" customFormat="1" x14ac:dyDescent="0.2">
      <c r="A32"/>
      <c r="B32"/>
      <c r="C32"/>
      <c r="D32"/>
    </row>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61" zoomScale="130" zoomScaleNormal="130" workbookViewId="0">
      <selection activeCell="B76" sqref="B7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zoomScale="115" zoomScaleNormal="115" workbookViewId="0">
      <selection activeCell="D511" sqref="D511"/>
    </sheetView>
  </sheetViews>
  <sheetFormatPr baseColWidth="10" defaultColWidth="8.85546875" defaultRowHeight="12.75" x14ac:dyDescent="0.2"/>
  <cols>
    <col min="1" max="1" width="8.42578125" customWidth="1"/>
    <col min="2" max="2" width="13.42578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414</v>
      </c>
      <c r="E2" s="186" t="s">
        <v>81</v>
      </c>
      <c r="F2" s="103" t="s">
        <v>337</v>
      </c>
      <c r="I2" s="138" t="s">
        <v>92</v>
      </c>
      <c r="AB2" s="101" t="s">
        <v>27</v>
      </c>
    </row>
    <row r="3" spans="2:28" ht="13.5" thickBot="1" x14ac:dyDescent="0.25">
      <c r="B3" s="164" t="s">
        <v>109</v>
      </c>
      <c r="C3" s="209" t="s">
        <v>251</v>
      </c>
      <c r="D3" s="208" t="s">
        <v>250</v>
      </c>
      <c r="E3" s="167" t="s">
        <v>51</v>
      </c>
      <c r="F3" s="168" t="s">
        <v>272</v>
      </c>
      <c r="I3" s="138" t="s">
        <v>92</v>
      </c>
      <c r="AB3">
        <v>1</v>
      </c>
    </row>
    <row r="4" spans="2:28" ht="14.25" x14ac:dyDescent="0.2">
      <c r="B4" s="190" t="s">
        <v>215</v>
      </c>
      <c r="C4" s="210">
        <v>2.2999999999999998</v>
      </c>
      <c r="D4" s="192"/>
      <c r="E4" s="21"/>
      <c r="F4" s="193"/>
      <c r="I4" s="138"/>
    </row>
    <row r="5" spans="2:28" x14ac:dyDescent="0.2">
      <c r="B5" s="13" t="s">
        <v>39</v>
      </c>
      <c r="C5" s="207">
        <v>42902</v>
      </c>
      <c r="D5" s="15" t="str">
        <f>IF(OR(C8="",C9=""),"",VLOOKUP(CONCATENATE(C8," - ",C9),Exposure,2))</f>
        <v>Y</v>
      </c>
      <c r="E5" s="16" t="s">
        <v>135</v>
      </c>
      <c r="F5" s="113">
        <v>2</v>
      </c>
      <c r="I5" s="138" t="s">
        <v>92</v>
      </c>
      <c r="AB5">
        <v>2</v>
      </c>
    </row>
    <row r="6" spans="2:28" x14ac:dyDescent="0.2">
      <c r="B6" s="13" t="s">
        <v>84</v>
      </c>
      <c r="C6" s="216" t="s">
        <v>269</v>
      </c>
      <c r="D6" s="15" t="s">
        <v>126</v>
      </c>
      <c r="E6" s="16" t="s">
        <v>56</v>
      </c>
      <c r="F6" s="134" t="s">
        <v>276</v>
      </c>
      <c r="I6" s="138" t="s">
        <v>92</v>
      </c>
      <c r="AB6">
        <v>3</v>
      </c>
    </row>
    <row r="7" spans="2:28" x14ac:dyDescent="0.2">
      <c r="B7" s="13" t="s">
        <v>85</v>
      </c>
      <c r="C7" s="218" t="s">
        <v>269</v>
      </c>
      <c r="D7" s="18"/>
      <c r="E7" s="16" t="s">
        <v>91</v>
      </c>
      <c r="F7" s="134" t="s">
        <v>142</v>
      </c>
      <c r="I7" s="138" t="s">
        <v>92</v>
      </c>
      <c r="AB7">
        <v>4</v>
      </c>
    </row>
    <row r="8" spans="2:28" x14ac:dyDescent="0.2">
      <c r="B8" s="13" t="s">
        <v>44</v>
      </c>
      <c r="C8" s="133" t="s">
        <v>94</v>
      </c>
      <c r="D8" s="49" t="str">
        <f>IF(C8="","WARNING - Please enter a Probability.","")</f>
        <v/>
      </c>
      <c r="E8" s="16" t="s">
        <v>60</v>
      </c>
      <c r="F8" s="134" t="s">
        <v>107</v>
      </c>
      <c r="I8" s="138" t="s">
        <v>92</v>
      </c>
      <c r="AB8">
        <v>5</v>
      </c>
    </row>
    <row r="9" spans="2:28" x14ac:dyDescent="0.2">
      <c r="B9" s="13" t="s">
        <v>50</v>
      </c>
      <c r="C9" s="133" t="s">
        <v>242</v>
      </c>
      <c r="D9" s="15" t="s">
        <v>96</v>
      </c>
      <c r="E9" s="16" t="s">
        <v>61</v>
      </c>
      <c r="F9" s="207">
        <v>42902</v>
      </c>
      <c r="I9" s="138" t="s">
        <v>92</v>
      </c>
      <c r="AB9">
        <v>6</v>
      </c>
    </row>
    <row r="10" spans="2:28" ht="25.5" x14ac:dyDescent="0.2">
      <c r="B10" s="187" t="s">
        <v>57</v>
      </c>
      <c r="C10" s="133" t="s">
        <v>243</v>
      </c>
      <c r="D10" s="15" t="s">
        <v>339</v>
      </c>
      <c r="E10" s="16" t="s">
        <v>62</v>
      </c>
      <c r="F10" s="207">
        <v>42902</v>
      </c>
      <c r="I10" s="138" t="s">
        <v>92</v>
      </c>
      <c r="AB10">
        <v>7</v>
      </c>
    </row>
    <row r="11" spans="2:28" x14ac:dyDescent="0.2">
      <c r="B11" s="13"/>
      <c r="C11" s="15"/>
      <c r="D11" s="15"/>
      <c r="E11" s="18"/>
      <c r="F11" s="19"/>
      <c r="I11" s="138" t="s">
        <v>92</v>
      </c>
      <c r="AB11">
        <v>8</v>
      </c>
    </row>
    <row r="12" spans="2:28" ht="25.5" x14ac:dyDescent="0.2">
      <c r="B12" s="20"/>
      <c r="C12" s="21" t="s">
        <v>89</v>
      </c>
      <c r="D12" s="217" t="s">
        <v>344</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173" t="s">
        <v>346</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173" t="s">
        <v>347</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t="s">
        <v>342</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18" t="s">
        <v>269</v>
      </c>
      <c r="C23" s="26">
        <v>1</v>
      </c>
      <c r="D23" s="173" t="s">
        <v>348</v>
      </c>
      <c r="E23" s="27">
        <v>42867</v>
      </c>
      <c r="F23" s="28"/>
      <c r="I23" s="138" t="s">
        <v>92</v>
      </c>
      <c r="AB23">
        <v>18</v>
      </c>
    </row>
    <row r="24" spans="2:28" x14ac:dyDescent="0.2">
      <c r="B24" s="218" t="s">
        <v>269</v>
      </c>
      <c r="C24" s="26">
        <v>2</v>
      </c>
      <c r="D24" s="22" t="s">
        <v>350</v>
      </c>
      <c r="E24" s="27">
        <v>42867</v>
      </c>
      <c r="F24" s="28"/>
      <c r="I24" s="138" t="s">
        <v>92</v>
      </c>
      <c r="AB24">
        <v>19</v>
      </c>
    </row>
    <row r="25" spans="2:28" x14ac:dyDescent="0.2">
      <c r="B25" s="218"/>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19" t="s">
        <v>274</v>
      </c>
      <c r="D30" s="227" t="s">
        <v>351</v>
      </c>
      <c r="E30" s="167" t="s">
        <v>51</v>
      </c>
      <c r="F30" s="168" t="s">
        <v>272</v>
      </c>
      <c r="I30" s="138" t="s">
        <v>92</v>
      </c>
      <c r="AB30">
        <v>1</v>
      </c>
    </row>
    <row r="31" spans="2:28" ht="14.25" x14ac:dyDescent="0.2">
      <c r="B31" s="190" t="s">
        <v>215</v>
      </c>
      <c r="C31" s="210">
        <v>2.2999999999999998</v>
      </c>
      <c r="D31" s="192"/>
      <c r="E31" s="21"/>
      <c r="F31" s="193"/>
      <c r="I31" s="138"/>
    </row>
    <row r="32" spans="2:28" x14ac:dyDescent="0.2">
      <c r="B32" s="13" t="s">
        <v>39</v>
      </c>
      <c r="C32" s="207">
        <v>42902</v>
      </c>
      <c r="D32" s="15" t="str">
        <f>IF(OR(C35="",C36=""),"",VLOOKUP(CONCATENATE(C35," - ",C36),Exposure,2))</f>
        <v>Y</v>
      </c>
      <c r="E32" s="16" t="s">
        <v>135</v>
      </c>
      <c r="F32" s="113">
        <v>1</v>
      </c>
      <c r="I32" s="138" t="s">
        <v>92</v>
      </c>
      <c r="AB32">
        <v>2</v>
      </c>
    </row>
    <row r="33" spans="2:28" x14ac:dyDescent="0.2">
      <c r="B33" s="13" t="s">
        <v>84</v>
      </c>
      <c r="C33" s="216" t="s">
        <v>269</v>
      </c>
      <c r="D33" s="15" t="s">
        <v>126</v>
      </c>
      <c r="E33" s="16" t="s">
        <v>56</v>
      </c>
      <c r="F33" s="134" t="s">
        <v>271</v>
      </c>
      <c r="I33" s="138" t="s">
        <v>92</v>
      </c>
      <c r="AB33">
        <v>3</v>
      </c>
    </row>
    <row r="34" spans="2:28" x14ac:dyDescent="0.2">
      <c r="B34" s="13" t="s">
        <v>85</v>
      </c>
      <c r="C34" s="218" t="s">
        <v>269</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249</v>
      </c>
      <c r="D35" s="49" t="str">
        <f>IF(C35="","WARNING - Please enter a Probability.","")</f>
        <v/>
      </c>
      <c r="E35" s="16" t="s">
        <v>60</v>
      </c>
      <c r="F35" s="134" t="s">
        <v>107</v>
      </c>
      <c r="I35" s="138" t="s">
        <v>92</v>
      </c>
      <c r="AB35">
        <v>5</v>
      </c>
    </row>
    <row r="36" spans="2:28" x14ac:dyDescent="0.2">
      <c r="B36" s="13" t="s">
        <v>50</v>
      </c>
      <c r="C36" s="133" t="s">
        <v>242</v>
      </c>
      <c r="D36" s="15" t="s">
        <v>96</v>
      </c>
      <c r="E36" s="16" t="s">
        <v>61</v>
      </c>
      <c r="F36" s="207">
        <v>42902</v>
      </c>
      <c r="I36" s="138" t="s">
        <v>92</v>
      </c>
      <c r="AB36">
        <v>6</v>
      </c>
    </row>
    <row r="37" spans="2:28" ht="25.5" x14ac:dyDescent="0.2">
      <c r="B37" s="187" t="s">
        <v>57</v>
      </c>
      <c r="C37" s="133" t="s">
        <v>243</v>
      </c>
      <c r="D37" s="15" t="s">
        <v>339</v>
      </c>
      <c r="E37" s="16" t="s">
        <v>62</v>
      </c>
      <c r="F37" s="207">
        <v>42902</v>
      </c>
      <c r="I37" s="138" t="s">
        <v>92</v>
      </c>
      <c r="AB37">
        <v>7</v>
      </c>
    </row>
    <row r="38" spans="2:28" x14ac:dyDescent="0.2">
      <c r="B38" s="13"/>
      <c r="C38" s="15"/>
      <c r="D38" s="15"/>
      <c r="E38" s="18"/>
      <c r="F38" s="19"/>
      <c r="I38" s="138" t="s">
        <v>92</v>
      </c>
      <c r="AB38">
        <v>8</v>
      </c>
    </row>
    <row r="39" spans="2:28" ht="25.5" x14ac:dyDescent="0.2">
      <c r="B39" s="20"/>
      <c r="C39" s="21" t="s">
        <v>89</v>
      </c>
      <c r="D39" s="217" t="s">
        <v>352</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173" t="s">
        <v>353</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173" t="s">
        <v>354</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173" t="s">
        <v>342</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7" customHeight="1" x14ac:dyDescent="0.2">
      <c r="B50" s="216" t="s">
        <v>269</v>
      </c>
      <c r="C50" s="26">
        <v>1</v>
      </c>
      <c r="D50" s="173" t="s">
        <v>355</v>
      </c>
      <c r="E50" s="27">
        <v>42867</v>
      </c>
      <c r="F50" s="28"/>
      <c r="I50" s="138" t="s">
        <v>92</v>
      </c>
      <c r="AB50">
        <v>20</v>
      </c>
    </row>
    <row r="51" spans="1:28" ht="15" customHeight="1" x14ac:dyDescent="0.2">
      <c r="B51" s="218" t="s">
        <v>269</v>
      </c>
      <c r="C51" s="26">
        <v>2</v>
      </c>
      <c r="D51" s="173" t="s">
        <v>356</v>
      </c>
      <c r="E51" s="27">
        <v>42909</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19" t="s">
        <v>270</v>
      </c>
      <c r="D56" s="211" t="s">
        <v>253</v>
      </c>
      <c r="E56" s="167" t="s">
        <v>51</v>
      </c>
      <c r="F56" s="168" t="s">
        <v>272</v>
      </c>
      <c r="I56" s="138" t="s">
        <v>92</v>
      </c>
      <c r="L56" s="15"/>
      <c r="M56" s="15"/>
      <c r="N56" s="15"/>
      <c r="O56" s="15"/>
      <c r="P56" s="15"/>
      <c r="Q56" s="15"/>
      <c r="R56" s="15"/>
      <c r="S56" s="15"/>
      <c r="T56" s="15"/>
      <c r="U56" s="15"/>
      <c r="V56" s="15"/>
      <c r="W56" s="15"/>
      <c r="X56" s="15"/>
      <c r="AB56">
        <v>1</v>
      </c>
    </row>
    <row r="57" spans="1:28" ht="15" x14ac:dyDescent="0.2">
      <c r="B57" s="190" t="s">
        <v>215</v>
      </c>
      <c r="C57" s="228">
        <v>2.1</v>
      </c>
      <c r="D57" s="192"/>
      <c r="E57" s="21"/>
      <c r="F57" s="193"/>
      <c r="I57" s="138"/>
    </row>
    <row r="58" spans="1:28" x14ac:dyDescent="0.2">
      <c r="B58" s="13" t="s">
        <v>39</v>
      </c>
      <c r="C58" s="207">
        <v>42902</v>
      </c>
      <c r="D58" s="15" t="str">
        <f>IF(OR(C61="",C62=""),"",VLOOKUP(CONCATENATE(C61," - ",C62),Exposure,2))</f>
        <v>Y</v>
      </c>
      <c r="E58" s="16" t="s">
        <v>135</v>
      </c>
      <c r="F58" s="113">
        <v>6</v>
      </c>
      <c r="I58" s="138" t="s">
        <v>92</v>
      </c>
      <c r="AB58">
        <v>2</v>
      </c>
    </row>
    <row r="59" spans="1:28" x14ac:dyDescent="0.2">
      <c r="B59" s="13" t="s">
        <v>84</v>
      </c>
      <c r="C59" s="216" t="s">
        <v>269</v>
      </c>
      <c r="D59" s="15" t="s">
        <v>126</v>
      </c>
      <c r="E59" s="16" t="s">
        <v>56</v>
      </c>
      <c r="F59" s="134" t="s">
        <v>271</v>
      </c>
      <c r="I59" s="138" t="s">
        <v>92</v>
      </c>
      <c r="AB59">
        <v>3</v>
      </c>
    </row>
    <row r="60" spans="1:28" x14ac:dyDescent="0.2">
      <c r="B60" s="13" t="s">
        <v>85</v>
      </c>
      <c r="C60" s="218" t="s">
        <v>269</v>
      </c>
      <c r="D60" s="18"/>
      <c r="E60" s="16" t="s">
        <v>91</v>
      </c>
      <c r="F60" s="134" t="s">
        <v>106</v>
      </c>
      <c r="I60" s="138" t="s">
        <v>92</v>
      </c>
      <c r="AB60">
        <v>4</v>
      </c>
    </row>
    <row r="61" spans="1:28" x14ac:dyDescent="0.2">
      <c r="B61" s="13" t="s">
        <v>44</v>
      </c>
      <c r="C61" s="133" t="s">
        <v>249</v>
      </c>
      <c r="D61" s="49" t="str">
        <f>IF(C61="","WARNING - Please enter a Probability.","")</f>
        <v/>
      </c>
      <c r="E61" s="16" t="s">
        <v>60</v>
      </c>
      <c r="F61" s="134" t="s">
        <v>107</v>
      </c>
      <c r="I61" s="138" t="s">
        <v>92</v>
      </c>
      <c r="AB61">
        <v>5</v>
      </c>
    </row>
    <row r="62" spans="1:28" x14ac:dyDescent="0.2">
      <c r="B62" s="13" t="s">
        <v>50</v>
      </c>
      <c r="C62" s="133" t="s">
        <v>249</v>
      </c>
      <c r="D62" s="15" t="s">
        <v>96</v>
      </c>
      <c r="E62" s="16" t="s">
        <v>61</v>
      </c>
      <c r="F62" s="207">
        <v>42902</v>
      </c>
      <c r="I62" s="138" t="s">
        <v>92</v>
      </c>
      <c r="AB62">
        <v>6</v>
      </c>
    </row>
    <row r="63" spans="1:28" ht="25.5" x14ac:dyDescent="0.2">
      <c r="B63" s="187" t="s">
        <v>57</v>
      </c>
      <c r="C63" s="133" t="s">
        <v>243</v>
      </c>
      <c r="D63" s="15" t="s">
        <v>339</v>
      </c>
      <c r="E63" s="16" t="s">
        <v>62</v>
      </c>
      <c r="F63" s="207">
        <v>42902</v>
      </c>
      <c r="I63" s="138" t="s">
        <v>92</v>
      </c>
      <c r="AB63">
        <v>7</v>
      </c>
    </row>
    <row r="64" spans="1:28" x14ac:dyDescent="0.2">
      <c r="B64" s="13"/>
      <c r="C64" s="15"/>
      <c r="D64" s="15"/>
      <c r="E64" s="18"/>
      <c r="F64" s="19"/>
      <c r="I64" s="138" t="s">
        <v>92</v>
      </c>
      <c r="AB64">
        <v>8</v>
      </c>
    </row>
    <row r="65" spans="2:28" ht="51" x14ac:dyDescent="0.2">
      <c r="B65" s="20"/>
      <c r="C65" s="21" t="s">
        <v>89</v>
      </c>
      <c r="D65" s="217" t="s">
        <v>357</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173" t="s">
        <v>275</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173" t="s">
        <v>358</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173" t="s">
        <v>342</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16" t="s">
        <v>269</v>
      </c>
      <c r="C76" s="26">
        <v>1</v>
      </c>
      <c r="D76" s="173" t="s">
        <v>277</v>
      </c>
      <c r="E76" s="207">
        <v>42867</v>
      </c>
      <c r="F76" s="28"/>
      <c r="I76" s="138" t="s">
        <v>92</v>
      </c>
      <c r="AB76">
        <v>20</v>
      </c>
    </row>
    <row r="77" spans="2:28" x14ac:dyDescent="0.2">
      <c r="B77" s="216" t="s">
        <v>269</v>
      </c>
      <c r="C77" s="26">
        <v>2</v>
      </c>
      <c r="D77" s="173" t="s">
        <v>278</v>
      </c>
      <c r="E77" s="207">
        <v>42867</v>
      </c>
      <c r="F77" s="28"/>
      <c r="I77" s="138" t="s">
        <v>92</v>
      </c>
      <c r="AB77">
        <v>21</v>
      </c>
    </row>
    <row r="78" spans="2:28" x14ac:dyDescent="0.2">
      <c r="B78" s="216" t="s">
        <v>269</v>
      </c>
      <c r="C78" s="26">
        <v>3</v>
      </c>
      <c r="D78" s="173" t="s">
        <v>279</v>
      </c>
      <c r="E78" s="207">
        <v>42867</v>
      </c>
      <c r="F78" s="28"/>
      <c r="I78" s="138" t="s">
        <v>92</v>
      </c>
      <c r="AB78">
        <v>22</v>
      </c>
    </row>
    <row r="79" spans="2:28" x14ac:dyDescent="0.2">
      <c r="B79" s="216" t="s">
        <v>269</v>
      </c>
      <c r="C79" s="26">
        <v>4</v>
      </c>
      <c r="D79" s="173" t="s">
        <v>280</v>
      </c>
      <c r="E79" s="207">
        <v>42867</v>
      </c>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19" t="s">
        <v>282</v>
      </c>
      <c r="D82" s="211" t="s">
        <v>281</v>
      </c>
      <c r="E82" s="167" t="s">
        <v>51</v>
      </c>
      <c r="F82" s="168" t="s">
        <v>272</v>
      </c>
      <c r="I82" s="138" t="s">
        <v>92</v>
      </c>
      <c r="AB82">
        <v>1</v>
      </c>
    </row>
    <row r="83" spans="2:28" ht="14.25" x14ac:dyDescent="0.2">
      <c r="B83" s="190" t="s">
        <v>215</v>
      </c>
      <c r="C83" s="210">
        <v>2.1</v>
      </c>
      <c r="D83" s="192"/>
      <c r="E83" s="21"/>
      <c r="F83" s="193"/>
      <c r="I83" s="138"/>
    </row>
    <row r="84" spans="2:28" x14ac:dyDescent="0.2">
      <c r="B84" s="13" t="s">
        <v>39</v>
      </c>
      <c r="C84" s="207">
        <v>42902</v>
      </c>
      <c r="D84" s="15" t="str">
        <f>IF(OR(C87="",C88=""),"",VLOOKUP(CONCATENATE(C87," - ",C88),Exposure,2))</f>
        <v>Y</v>
      </c>
      <c r="E84" s="16" t="s">
        <v>135</v>
      </c>
      <c r="F84" s="113">
        <v>3</v>
      </c>
      <c r="I84" s="138" t="s">
        <v>92</v>
      </c>
      <c r="AB84">
        <v>2</v>
      </c>
    </row>
    <row r="85" spans="2:28" x14ac:dyDescent="0.2">
      <c r="B85" s="13" t="s">
        <v>84</v>
      </c>
      <c r="C85" s="216" t="s">
        <v>269</v>
      </c>
      <c r="D85" s="15" t="s">
        <v>126</v>
      </c>
      <c r="E85" s="16" t="s">
        <v>56</v>
      </c>
      <c r="F85" s="134" t="s">
        <v>283</v>
      </c>
      <c r="I85" s="138" t="s">
        <v>92</v>
      </c>
      <c r="AB85">
        <v>3</v>
      </c>
    </row>
    <row r="86" spans="2:28" x14ac:dyDescent="0.2">
      <c r="B86" s="13" t="s">
        <v>85</v>
      </c>
      <c r="C86" s="218" t="s">
        <v>269</v>
      </c>
      <c r="D86" s="18"/>
      <c r="E86" s="16" t="s">
        <v>91</v>
      </c>
      <c r="F86" s="134" t="s">
        <v>106</v>
      </c>
      <c r="I86" s="138" t="s">
        <v>92</v>
      </c>
      <c r="AB86">
        <v>4</v>
      </c>
    </row>
    <row r="87" spans="2:28" x14ac:dyDescent="0.2">
      <c r="B87" s="13" t="s">
        <v>44</v>
      </c>
      <c r="C87" s="133" t="s">
        <v>249</v>
      </c>
      <c r="D87" s="49" t="str">
        <f>IF(C87="","WARNING - Please enter a Probability.","")</f>
        <v/>
      </c>
      <c r="E87" s="16" t="s">
        <v>60</v>
      </c>
      <c r="F87" s="134" t="s">
        <v>107</v>
      </c>
      <c r="I87" s="138" t="s">
        <v>92</v>
      </c>
      <c r="AB87">
        <v>5</v>
      </c>
    </row>
    <row r="88" spans="2:28" x14ac:dyDescent="0.2">
      <c r="B88" s="13" t="s">
        <v>50</v>
      </c>
      <c r="C88" s="133" t="s">
        <v>242</v>
      </c>
      <c r="D88" s="15" t="s">
        <v>96</v>
      </c>
      <c r="E88" s="16" t="s">
        <v>61</v>
      </c>
      <c r="F88" s="207">
        <v>42902</v>
      </c>
      <c r="I88" s="138" t="s">
        <v>92</v>
      </c>
      <c r="AB88">
        <v>6</v>
      </c>
    </row>
    <row r="89" spans="2:28" ht="25.5" x14ac:dyDescent="0.2">
      <c r="B89" s="187" t="s">
        <v>57</v>
      </c>
      <c r="C89" s="133" t="s">
        <v>243</v>
      </c>
      <c r="D89" s="15" t="s">
        <v>339</v>
      </c>
      <c r="E89" s="16" t="s">
        <v>62</v>
      </c>
      <c r="F89" s="207">
        <v>42902</v>
      </c>
      <c r="I89" s="138" t="s">
        <v>92</v>
      </c>
      <c r="AB89">
        <v>7</v>
      </c>
    </row>
    <row r="90" spans="2:28" x14ac:dyDescent="0.2">
      <c r="B90" s="13"/>
      <c r="C90" s="15"/>
      <c r="D90" s="15"/>
      <c r="E90" s="18"/>
      <c r="F90" s="19"/>
      <c r="I90" s="138" t="s">
        <v>92</v>
      </c>
      <c r="AB90">
        <v>8</v>
      </c>
    </row>
    <row r="91" spans="2:28" ht="38.25" x14ac:dyDescent="0.2">
      <c r="B91" s="20"/>
      <c r="C91" s="21" t="s">
        <v>89</v>
      </c>
      <c r="D91" s="217" t="s">
        <v>359</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173" t="s">
        <v>284</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173" t="s">
        <v>360</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342</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22" t="s">
        <v>269</v>
      </c>
      <c r="C102" s="26">
        <v>1</v>
      </c>
      <c r="D102" s="173" t="s">
        <v>361</v>
      </c>
      <c r="E102" s="207">
        <v>42867</v>
      </c>
      <c r="F102" s="28"/>
      <c r="I102" s="138" t="s">
        <v>92</v>
      </c>
      <c r="AB102">
        <v>20</v>
      </c>
    </row>
    <row r="103" spans="2:28" x14ac:dyDescent="0.2">
      <c r="B103" s="222" t="s">
        <v>269</v>
      </c>
      <c r="C103" s="26">
        <v>2</v>
      </c>
      <c r="D103" s="173" t="s">
        <v>362</v>
      </c>
      <c r="E103" s="207">
        <v>42867</v>
      </c>
      <c r="F103" s="28"/>
      <c r="I103" s="138" t="s">
        <v>92</v>
      </c>
      <c r="AB103">
        <v>21</v>
      </c>
    </row>
    <row r="104" spans="2:28" x14ac:dyDescent="0.2">
      <c r="B104" s="25"/>
      <c r="C104" s="26"/>
      <c r="D104" s="22"/>
      <c r="E104" s="20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19" t="s">
        <v>285</v>
      </c>
      <c r="D108" s="211" t="s">
        <v>254</v>
      </c>
      <c r="E108" s="167" t="s">
        <v>51</v>
      </c>
      <c r="F108" s="168" t="s">
        <v>268</v>
      </c>
      <c r="I108" s="138" t="s">
        <v>92</v>
      </c>
      <c r="AB108">
        <v>1</v>
      </c>
    </row>
    <row r="109" spans="2:28" ht="14.25" x14ac:dyDescent="0.2">
      <c r="B109" s="190" t="s">
        <v>215</v>
      </c>
      <c r="C109" s="210">
        <v>2.1</v>
      </c>
      <c r="D109" s="192"/>
      <c r="E109" s="21"/>
      <c r="F109" s="193"/>
      <c r="I109" s="138"/>
    </row>
    <row r="110" spans="2:28" x14ac:dyDescent="0.2">
      <c r="B110" s="13" t="s">
        <v>39</v>
      </c>
      <c r="C110" s="207">
        <v>42902</v>
      </c>
      <c r="D110" s="15" t="str">
        <f>IF(OR(C113="",C114=""),"",VLOOKUP(CONCATENATE(C113," - ",C114),Exposure,2))</f>
        <v>R</v>
      </c>
      <c r="E110" s="16" t="s">
        <v>135</v>
      </c>
      <c r="F110" s="113">
        <v>1</v>
      </c>
      <c r="I110" s="138" t="s">
        <v>92</v>
      </c>
      <c r="AB110">
        <v>2</v>
      </c>
    </row>
    <row r="111" spans="2:28" x14ac:dyDescent="0.2">
      <c r="B111" s="13" t="s">
        <v>84</v>
      </c>
      <c r="C111" s="216" t="s">
        <v>269</v>
      </c>
      <c r="D111" s="15" t="s">
        <v>126</v>
      </c>
      <c r="E111" s="16" t="s">
        <v>56</v>
      </c>
      <c r="F111" s="134" t="s">
        <v>271</v>
      </c>
      <c r="I111" s="138" t="s">
        <v>92</v>
      </c>
      <c r="AB111">
        <v>3</v>
      </c>
    </row>
    <row r="112" spans="2:28" x14ac:dyDescent="0.2">
      <c r="B112" s="13" t="s">
        <v>85</v>
      </c>
      <c r="C112" s="218" t="s">
        <v>269</v>
      </c>
      <c r="D112" s="18"/>
      <c r="E112" s="16" t="s">
        <v>91</v>
      </c>
      <c r="F112" s="134" t="s">
        <v>106</v>
      </c>
      <c r="I112" s="138" t="s">
        <v>92</v>
      </c>
      <c r="AB112">
        <v>4</v>
      </c>
    </row>
    <row r="113" spans="2:28" x14ac:dyDescent="0.2">
      <c r="B113" s="13" t="s">
        <v>44</v>
      </c>
      <c r="C113" s="133" t="s">
        <v>242</v>
      </c>
      <c r="D113" s="49" t="str">
        <f>IF(C113="","WARNING - Please enter a Probability.","")</f>
        <v/>
      </c>
      <c r="E113" s="16" t="s">
        <v>60</v>
      </c>
      <c r="F113" s="134" t="s">
        <v>107</v>
      </c>
      <c r="I113" s="138" t="s">
        <v>92</v>
      </c>
      <c r="AB113">
        <v>5</v>
      </c>
    </row>
    <row r="114" spans="2:28" x14ac:dyDescent="0.2">
      <c r="B114" s="13" t="s">
        <v>50</v>
      </c>
      <c r="C114" s="133" t="s">
        <v>242</v>
      </c>
      <c r="D114" s="15" t="s">
        <v>96</v>
      </c>
      <c r="E114" s="16" t="s">
        <v>61</v>
      </c>
      <c r="F114" s="207">
        <v>42902</v>
      </c>
      <c r="I114" s="138" t="s">
        <v>92</v>
      </c>
      <c r="AB114">
        <v>6</v>
      </c>
    </row>
    <row r="115" spans="2:28" ht="25.5" x14ac:dyDescent="0.2">
      <c r="B115" s="187" t="s">
        <v>57</v>
      </c>
      <c r="C115" s="133" t="s">
        <v>243</v>
      </c>
      <c r="D115" s="15" t="s">
        <v>339</v>
      </c>
      <c r="E115" s="16" t="s">
        <v>62</v>
      </c>
      <c r="F115" s="207">
        <v>42902</v>
      </c>
      <c r="I115" s="138" t="s">
        <v>92</v>
      </c>
      <c r="AB115">
        <v>7</v>
      </c>
    </row>
    <row r="116" spans="2:28" x14ac:dyDescent="0.2">
      <c r="B116" s="13"/>
      <c r="C116" s="15"/>
      <c r="D116" s="15"/>
      <c r="E116" s="18"/>
      <c r="F116" s="19"/>
      <c r="I116" s="138" t="s">
        <v>92</v>
      </c>
      <c r="AB116">
        <v>8</v>
      </c>
    </row>
    <row r="117" spans="2:28" ht="25.5" x14ac:dyDescent="0.2">
      <c r="B117" s="20"/>
      <c r="C117" s="21" t="s">
        <v>89</v>
      </c>
      <c r="D117" s="217" t="s">
        <v>363</v>
      </c>
      <c r="E117" s="18"/>
      <c r="F117" s="19"/>
      <c r="I117" s="138" t="s">
        <v>92</v>
      </c>
      <c r="AB117">
        <v>9</v>
      </c>
    </row>
    <row r="118" spans="2:28" ht="6" customHeight="1" x14ac:dyDescent="0.2">
      <c r="B118" s="20"/>
      <c r="C118" s="21"/>
      <c r="D118" s="22"/>
      <c r="E118" s="18"/>
      <c r="F118" s="19"/>
      <c r="I118" s="138" t="s">
        <v>92</v>
      </c>
      <c r="AB118">
        <v>10</v>
      </c>
    </row>
    <row r="119" spans="2:28" ht="25.5" x14ac:dyDescent="0.2">
      <c r="B119" s="20"/>
      <c r="C119" s="21" t="s">
        <v>90</v>
      </c>
      <c r="D119" s="173" t="s">
        <v>364</v>
      </c>
      <c r="E119" s="18"/>
      <c r="F119" s="19"/>
      <c r="I119" s="138" t="s">
        <v>92</v>
      </c>
      <c r="AB119">
        <v>11</v>
      </c>
    </row>
    <row r="120" spans="2:28" ht="6" customHeight="1" x14ac:dyDescent="0.2">
      <c r="B120" s="20"/>
      <c r="C120" s="21"/>
      <c r="D120" s="22"/>
      <c r="E120" s="18"/>
      <c r="F120" s="19"/>
      <c r="I120" s="138" t="s">
        <v>92</v>
      </c>
      <c r="AB120">
        <v>12</v>
      </c>
    </row>
    <row r="121" spans="2:28" ht="63.75" x14ac:dyDescent="0.2">
      <c r="B121" s="20"/>
      <c r="C121" s="21" t="s">
        <v>3</v>
      </c>
      <c r="D121" s="173" t="s">
        <v>365</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342</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18" t="s">
        <v>269</v>
      </c>
      <c r="C128" s="26">
        <v>1</v>
      </c>
      <c r="D128" s="173" t="s">
        <v>286</v>
      </c>
      <c r="E128" s="207">
        <v>42867</v>
      </c>
      <c r="F128" s="28"/>
      <c r="I128" s="138" t="s">
        <v>92</v>
      </c>
      <c r="AB128">
        <v>20</v>
      </c>
    </row>
    <row r="129" spans="2:28" x14ac:dyDescent="0.2">
      <c r="B129" s="218" t="s">
        <v>269</v>
      </c>
      <c r="C129" s="26">
        <v>2</v>
      </c>
      <c r="D129" s="173" t="s">
        <v>287</v>
      </c>
      <c r="E129" s="207">
        <v>42867</v>
      </c>
      <c r="F129" s="28"/>
      <c r="I129" s="138" t="s">
        <v>92</v>
      </c>
      <c r="AB129">
        <v>21</v>
      </c>
    </row>
    <row r="130" spans="2:28" x14ac:dyDescent="0.2">
      <c r="B130" s="218"/>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19" t="s">
        <v>288</v>
      </c>
      <c r="D134" s="212" t="s">
        <v>366</v>
      </c>
      <c r="E134" s="167" t="s">
        <v>51</v>
      </c>
      <c r="F134" s="168" t="s">
        <v>272</v>
      </c>
      <c r="I134" s="138" t="s">
        <v>92</v>
      </c>
      <c r="AB134">
        <v>1</v>
      </c>
    </row>
    <row r="135" spans="2:28" ht="15" x14ac:dyDescent="0.2">
      <c r="B135" s="190" t="s">
        <v>215</v>
      </c>
      <c r="C135" s="228">
        <v>2.2000000000000002</v>
      </c>
      <c r="D135" s="192"/>
      <c r="E135" s="21"/>
      <c r="F135" s="193"/>
      <c r="I135" s="138"/>
    </row>
    <row r="136" spans="2:28" x14ac:dyDescent="0.2">
      <c r="B136" s="13" t="s">
        <v>39</v>
      </c>
      <c r="C136" s="207">
        <v>42902</v>
      </c>
      <c r="D136" s="15" t="str">
        <f>IF(OR(C139="",C140=""),"",VLOOKUP(CONCATENATE(C139," - ",C140),Exposure,2))</f>
        <v>R</v>
      </c>
      <c r="E136" s="16" t="s">
        <v>135</v>
      </c>
      <c r="F136" s="113">
        <v>2</v>
      </c>
      <c r="I136" s="138" t="s">
        <v>92</v>
      </c>
      <c r="AB136">
        <v>2</v>
      </c>
    </row>
    <row r="137" spans="2:28" x14ac:dyDescent="0.2">
      <c r="B137" s="13" t="s">
        <v>84</v>
      </c>
      <c r="C137" s="216" t="s">
        <v>269</v>
      </c>
      <c r="D137" s="15" t="s">
        <v>126</v>
      </c>
      <c r="E137" s="16" t="s">
        <v>56</v>
      </c>
      <c r="F137" s="134" t="s">
        <v>245</v>
      </c>
      <c r="I137" s="138" t="s">
        <v>92</v>
      </c>
      <c r="AB137">
        <v>3</v>
      </c>
    </row>
    <row r="138" spans="2:28" x14ac:dyDescent="0.2">
      <c r="B138" s="13" t="s">
        <v>85</v>
      </c>
      <c r="C138" s="218" t="s">
        <v>269</v>
      </c>
      <c r="D138" s="18"/>
      <c r="E138" s="16" t="s">
        <v>91</v>
      </c>
      <c r="F138" s="134" t="s">
        <v>106</v>
      </c>
      <c r="I138" s="138" t="s">
        <v>92</v>
      </c>
      <c r="AB138">
        <v>4</v>
      </c>
    </row>
    <row r="139" spans="2:28" x14ac:dyDescent="0.2">
      <c r="B139" s="13" t="s">
        <v>44</v>
      </c>
      <c r="C139" s="133" t="s">
        <v>242</v>
      </c>
      <c r="D139" s="49" t="str">
        <f>IF(C139="","WARNING - Please enter a Probability.","")</f>
        <v/>
      </c>
      <c r="E139" s="16" t="s">
        <v>60</v>
      </c>
      <c r="F139" s="134" t="s">
        <v>107</v>
      </c>
      <c r="I139" s="138" t="s">
        <v>92</v>
      </c>
      <c r="AB139">
        <v>5</v>
      </c>
    </row>
    <row r="140" spans="2:28" x14ac:dyDescent="0.2">
      <c r="B140" s="13" t="s">
        <v>50</v>
      </c>
      <c r="C140" s="133" t="s">
        <v>242</v>
      </c>
      <c r="D140" s="15" t="s">
        <v>96</v>
      </c>
      <c r="E140" s="16" t="s">
        <v>61</v>
      </c>
      <c r="F140" s="207">
        <v>42902</v>
      </c>
      <c r="I140" s="138" t="s">
        <v>92</v>
      </c>
      <c r="AB140">
        <v>6</v>
      </c>
    </row>
    <row r="141" spans="2:28" ht="25.5" x14ac:dyDescent="0.2">
      <c r="B141" s="187" t="s">
        <v>57</v>
      </c>
      <c r="C141" s="133" t="s">
        <v>243</v>
      </c>
      <c r="D141" s="15" t="s">
        <v>339</v>
      </c>
      <c r="E141" s="16" t="s">
        <v>62</v>
      </c>
      <c r="F141" s="207">
        <v>42902</v>
      </c>
      <c r="I141" s="138" t="s">
        <v>92</v>
      </c>
      <c r="AB141">
        <v>7</v>
      </c>
    </row>
    <row r="142" spans="2:28" x14ac:dyDescent="0.2">
      <c r="B142" s="13"/>
      <c r="C142" s="15"/>
      <c r="D142" s="15"/>
      <c r="E142" s="18"/>
      <c r="F142" s="19"/>
      <c r="I142" s="138" t="s">
        <v>92</v>
      </c>
      <c r="AB142">
        <v>8</v>
      </c>
    </row>
    <row r="143" spans="2:28" ht="25.5" x14ac:dyDescent="0.2">
      <c r="B143" s="20"/>
      <c r="C143" s="21" t="s">
        <v>89</v>
      </c>
      <c r="D143" s="217" t="s">
        <v>367</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173" t="s">
        <v>289</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173" t="s">
        <v>290</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173" t="s">
        <v>342</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22" t="s">
        <v>269</v>
      </c>
      <c r="C154" s="26">
        <v>1</v>
      </c>
      <c r="D154" s="173" t="s">
        <v>368</v>
      </c>
      <c r="E154" s="207">
        <v>42870</v>
      </c>
      <c r="F154" s="28"/>
      <c r="I154" s="138" t="s">
        <v>92</v>
      </c>
      <c r="AB154">
        <v>20</v>
      </c>
    </row>
    <row r="155" spans="2:28" x14ac:dyDescent="0.2">
      <c r="B155" s="222" t="s">
        <v>269</v>
      </c>
      <c r="C155" s="26">
        <v>2</v>
      </c>
      <c r="D155" s="173" t="s">
        <v>369</v>
      </c>
      <c r="E155" s="207">
        <v>42885</v>
      </c>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19" t="s">
        <v>291</v>
      </c>
      <c r="D160" s="212" t="s">
        <v>255</v>
      </c>
      <c r="E160" s="167" t="s">
        <v>51</v>
      </c>
      <c r="F160" s="168" t="s">
        <v>272</v>
      </c>
      <c r="I160" s="138" t="s">
        <v>93</v>
      </c>
      <c r="AB160">
        <v>1</v>
      </c>
    </row>
    <row r="161" spans="2:28" ht="15" x14ac:dyDescent="0.2">
      <c r="B161" s="190" t="s">
        <v>215</v>
      </c>
      <c r="C161" s="228">
        <v>1.4</v>
      </c>
      <c r="D161" s="192"/>
      <c r="E161" s="21"/>
      <c r="F161" s="193"/>
      <c r="I161" s="138"/>
    </row>
    <row r="162" spans="2:28" x14ac:dyDescent="0.2">
      <c r="B162" s="13" t="s">
        <v>39</v>
      </c>
      <c r="C162" s="207">
        <v>42902</v>
      </c>
      <c r="D162" s="15" t="str">
        <f>IF(OR(C165="",C166=""),"",VLOOKUP(CONCATENATE(C165," - ",C166),Exposure,2))</f>
        <v>Y</v>
      </c>
      <c r="E162" s="16" t="s">
        <v>135</v>
      </c>
      <c r="F162" s="113">
        <v>7</v>
      </c>
      <c r="I162" s="138" t="s">
        <v>93</v>
      </c>
      <c r="AB162">
        <v>2</v>
      </c>
    </row>
    <row r="163" spans="2:28" x14ac:dyDescent="0.2">
      <c r="B163" s="13" t="s">
        <v>84</v>
      </c>
      <c r="C163" s="216" t="s">
        <v>269</v>
      </c>
      <c r="D163" s="15" t="s">
        <v>126</v>
      </c>
      <c r="E163" s="16" t="s">
        <v>56</v>
      </c>
      <c r="F163" s="134" t="s">
        <v>292</v>
      </c>
      <c r="I163" s="138" t="s">
        <v>93</v>
      </c>
      <c r="AB163">
        <v>3</v>
      </c>
    </row>
    <row r="164" spans="2:28" x14ac:dyDescent="0.2">
      <c r="B164" s="13" t="s">
        <v>85</v>
      </c>
      <c r="C164" s="218" t="s">
        <v>269</v>
      </c>
      <c r="D164" s="18"/>
      <c r="E164" s="16" t="s">
        <v>91</v>
      </c>
      <c r="F164" s="134" t="s">
        <v>106</v>
      </c>
      <c r="I164" s="138" t="s">
        <v>93</v>
      </c>
      <c r="AB164">
        <v>4</v>
      </c>
    </row>
    <row r="165" spans="2:28" x14ac:dyDescent="0.2">
      <c r="B165" s="13" t="s">
        <v>44</v>
      </c>
      <c r="C165" s="133" t="s">
        <v>249</v>
      </c>
      <c r="D165" s="49" t="str">
        <f>IF(C165="","WARNING - Please enter a Probability.","")</f>
        <v/>
      </c>
      <c r="E165" s="16" t="s">
        <v>60</v>
      </c>
      <c r="F165" s="134" t="s">
        <v>107</v>
      </c>
      <c r="I165" s="138" t="s">
        <v>93</v>
      </c>
      <c r="AB165">
        <v>5</v>
      </c>
    </row>
    <row r="166" spans="2:28" x14ac:dyDescent="0.2">
      <c r="B166" s="13" t="s">
        <v>50</v>
      </c>
      <c r="C166" s="133" t="s">
        <v>242</v>
      </c>
      <c r="D166" s="15" t="s">
        <v>96</v>
      </c>
      <c r="E166" s="16" t="s">
        <v>61</v>
      </c>
      <c r="F166" s="207">
        <v>42902</v>
      </c>
      <c r="I166" s="138" t="s">
        <v>93</v>
      </c>
      <c r="AB166">
        <v>6</v>
      </c>
    </row>
    <row r="167" spans="2:28" ht="25.5" x14ac:dyDescent="0.2">
      <c r="B167" s="187" t="s">
        <v>57</v>
      </c>
      <c r="C167" s="133" t="s">
        <v>95</v>
      </c>
      <c r="D167" s="15" t="s">
        <v>339</v>
      </c>
      <c r="E167" s="16" t="s">
        <v>62</v>
      </c>
      <c r="F167" s="207">
        <v>42902</v>
      </c>
      <c r="I167" s="138" t="s">
        <v>93</v>
      </c>
      <c r="AB167">
        <v>7</v>
      </c>
    </row>
    <row r="168" spans="2:28" x14ac:dyDescent="0.2">
      <c r="B168" s="13"/>
      <c r="C168" s="15"/>
      <c r="D168" s="15"/>
      <c r="E168" s="18"/>
      <c r="F168" s="19"/>
      <c r="I168" s="138" t="s">
        <v>93</v>
      </c>
      <c r="AB168">
        <v>8</v>
      </c>
    </row>
    <row r="169" spans="2:28" x14ac:dyDescent="0.2">
      <c r="B169" s="20"/>
      <c r="C169" s="21" t="s">
        <v>89</v>
      </c>
      <c r="D169" s="217" t="s">
        <v>370</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173" t="s">
        <v>293</v>
      </c>
      <c r="E171" s="18"/>
      <c r="F171" s="19"/>
      <c r="I171" s="138" t="s">
        <v>93</v>
      </c>
      <c r="AB171">
        <v>11</v>
      </c>
    </row>
    <row r="172" spans="2:28" ht="6" customHeight="1" x14ac:dyDescent="0.2">
      <c r="B172" s="20"/>
      <c r="C172" s="21"/>
      <c r="D172" s="22"/>
      <c r="E172" s="18"/>
      <c r="F172" s="19"/>
      <c r="I172" s="138" t="s">
        <v>93</v>
      </c>
      <c r="AB172">
        <v>12</v>
      </c>
    </row>
    <row r="173" spans="2:28" ht="38.25" x14ac:dyDescent="0.2">
      <c r="B173" s="20"/>
      <c r="C173" s="21" t="s">
        <v>3</v>
      </c>
      <c r="D173" s="173" t="s">
        <v>371</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173" t="s">
        <v>342</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22" t="s">
        <v>269</v>
      </c>
      <c r="C180" s="26">
        <v>1</v>
      </c>
      <c r="D180" s="173" t="s">
        <v>373</v>
      </c>
      <c r="E180" s="207">
        <v>42866</v>
      </c>
      <c r="F180" s="28"/>
      <c r="I180" s="138" t="s">
        <v>93</v>
      </c>
      <c r="AB180">
        <v>20</v>
      </c>
    </row>
    <row r="181" spans="2:28" ht="38.25" x14ac:dyDescent="0.2">
      <c r="B181" s="222" t="s">
        <v>269</v>
      </c>
      <c r="C181" s="26">
        <v>2</v>
      </c>
      <c r="D181" s="173" t="s">
        <v>372</v>
      </c>
      <c r="E181" s="207">
        <v>42866</v>
      </c>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19" t="s">
        <v>294</v>
      </c>
      <c r="D186" s="212" t="s">
        <v>256</v>
      </c>
      <c r="E186" s="167" t="s">
        <v>51</v>
      </c>
      <c r="F186" s="168" t="s">
        <v>272</v>
      </c>
      <c r="I186" s="138" t="s">
        <v>93</v>
      </c>
      <c r="AB186">
        <v>1</v>
      </c>
    </row>
    <row r="187" spans="2:28" ht="14.25" x14ac:dyDescent="0.2">
      <c r="B187" s="190" t="s">
        <v>215</v>
      </c>
      <c r="C187" s="210">
        <v>2.1</v>
      </c>
      <c r="D187" s="192"/>
      <c r="E187" s="21"/>
      <c r="F187" s="193"/>
      <c r="I187" s="138"/>
    </row>
    <row r="188" spans="2:28" x14ac:dyDescent="0.2">
      <c r="B188" s="13" t="s">
        <v>39</v>
      </c>
      <c r="C188" s="207">
        <v>42902</v>
      </c>
      <c r="D188" s="15" t="str">
        <f>IF(OR(C191="",C192=""),"",VLOOKUP(CONCATENATE(C191," - ",C192),Exposure,2))</f>
        <v>Y</v>
      </c>
      <c r="E188" s="16" t="s">
        <v>135</v>
      </c>
      <c r="F188" s="113">
        <v>1</v>
      </c>
      <c r="I188" s="138" t="s">
        <v>93</v>
      </c>
      <c r="AB188">
        <v>2</v>
      </c>
    </row>
    <row r="189" spans="2:28" x14ac:dyDescent="0.2">
      <c r="B189" s="13" t="s">
        <v>84</v>
      </c>
      <c r="C189" s="216" t="s">
        <v>269</v>
      </c>
      <c r="D189" s="15" t="s">
        <v>126</v>
      </c>
      <c r="E189" s="16" t="s">
        <v>56</v>
      </c>
      <c r="F189" s="134" t="s">
        <v>276</v>
      </c>
      <c r="I189" s="138" t="s">
        <v>93</v>
      </c>
      <c r="AB189">
        <v>3</v>
      </c>
    </row>
    <row r="190" spans="2:28" x14ac:dyDescent="0.2">
      <c r="B190" s="13" t="s">
        <v>85</v>
      </c>
      <c r="C190" s="218" t="s">
        <v>269</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216</v>
      </c>
      <c r="D192" s="15" t="s">
        <v>96</v>
      </c>
      <c r="E192" s="16" t="s">
        <v>61</v>
      </c>
      <c r="F192" s="207">
        <v>42902</v>
      </c>
      <c r="I192" s="138" t="s">
        <v>93</v>
      </c>
      <c r="AB192">
        <v>6</v>
      </c>
    </row>
    <row r="193" spans="2:28" ht="25.5" x14ac:dyDescent="0.2">
      <c r="B193" s="187" t="s">
        <v>57</v>
      </c>
      <c r="C193" s="133" t="s">
        <v>374</v>
      </c>
      <c r="D193" s="15" t="s">
        <v>339</v>
      </c>
      <c r="E193" s="16" t="s">
        <v>62</v>
      </c>
      <c r="F193" s="207">
        <v>42902</v>
      </c>
      <c r="I193" s="138" t="s">
        <v>93</v>
      </c>
      <c r="AB193">
        <v>7</v>
      </c>
    </row>
    <row r="194" spans="2:28" x14ac:dyDescent="0.2">
      <c r="B194" s="13"/>
      <c r="C194" s="15"/>
      <c r="D194" s="15"/>
      <c r="E194" s="18"/>
      <c r="F194" s="19"/>
      <c r="I194" s="138" t="s">
        <v>93</v>
      </c>
      <c r="AB194">
        <v>8</v>
      </c>
    </row>
    <row r="195" spans="2:28" ht="25.5" x14ac:dyDescent="0.2">
      <c r="B195" s="20"/>
      <c r="C195" s="21" t="s">
        <v>89</v>
      </c>
      <c r="D195" s="217" t="s">
        <v>375</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173" t="s">
        <v>376</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173" t="s">
        <v>295</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173" t="s">
        <v>342</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38.25" x14ac:dyDescent="0.2">
      <c r="B206" s="222" t="s">
        <v>269</v>
      </c>
      <c r="C206" s="26">
        <v>1</v>
      </c>
      <c r="D206" s="229" t="s">
        <v>378</v>
      </c>
      <c r="E206" s="207">
        <v>42867</v>
      </c>
      <c r="F206" s="28"/>
      <c r="I206" s="138" t="s">
        <v>93</v>
      </c>
      <c r="AB206">
        <v>20</v>
      </c>
    </row>
    <row r="207" spans="2:28" x14ac:dyDescent="0.2">
      <c r="B207" s="222" t="s">
        <v>269</v>
      </c>
      <c r="C207" s="26">
        <v>2</v>
      </c>
      <c r="D207" s="173" t="s">
        <v>377</v>
      </c>
      <c r="E207" s="207">
        <v>42867</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9" t="s">
        <v>296</v>
      </c>
      <c r="D212" s="212" t="s">
        <v>257</v>
      </c>
      <c r="E212" s="167" t="s">
        <v>51</v>
      </c>
      <c r="F212" s="168" t="s">
        <v>268</v>
      </c>
      <c r="I212" s="138" t="s">
        <v>93</v>
      </c>
      <c r="AB212">
        <v>1</v>
      </c>
    </row>
    <row r="213" spans="2:28" ht="15" x14ac:dyDescent="0.2">
      <c r="B213" s="190" t="s">
        <v>215</v>
      </c>
      <c r="C213" s="228" t="s">
        <v>379</v>
      </c>
      <c r="D213" s="192"/>
      <c r="E213" s="21"/>
      <c r="F213" s="193"/>
      <c r="I213" s="138"/>
    </row>
    <row r="214" spans="2:28" x14ac:dyDescent="0.2">
      <c r="B214" s="13" t="s">
        <v>39</v>
      </c>
      <c r="C214" s="207">
        <v>42902</v>
      </c>
      <c r="D214" s="15" t="str">
        <f>IF(OR(C217="",C218=""),"",VLOOKUP(CONCATENATE(C217," - ",C218),Exposure,2))</f>
        <v>Y</v>
      </c>
      <c r="E214" s="16" t="s">
        <v>135</v>
      </c>
      <c r="F214" s="113">
        <v>6</v>
      </c>
      <c r="I214" s="138" t="s">
        <v>93</v>
      </c>
      <c r="AB214">
        <v>2</v>
      </c>
    </row>
    <row r="215" spans="2:28" x14ac:dyDescent="0.2">
      <c r="B215" s="13" t="s">
        <v>84</v>
      </c>
      <c r="C215" s="216" t="s">
        <v>269</v>
      </c>
      <c r="D215" s="15" t="s">
        <v>126</v>
      </c>
      <c r="E215" s="16" t="s">
        <v>56</v>
      </c>
      <c r="F215" s="134" t="s">
        <v>245</v>
      </c>
      <c r="I215" s="138" t="s">
        <v>93</v>
      </c>
      <c r="AB215">
        <v>3</v>
      </c>
    </row>
    <row r="216" spans="2:28" x14ac:dyDescent="0.2">
      <c r="B216" s="13" t="s">
        <v>85</v>
      </c>
      <c r="C216" s="218" t="s">
        <v>269</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216</v>
      </c>
      <c r="D218" s="15" t="s">
        <v>96</v>
      </c>
      <c r="E218" s="16" t="s">
        <v>61</v>
      </c>
      <c r="F218" s="207">
        <v>42902</v>
      </c>
      <c r="I218" s="138" t="s">
        <v>93</v>
      </c>
      <c r="AB218">
        <v>6</v>
      </c>
    </row>
    <row r="219" spans="2:28" ht="25.5" x14ac:dyDescent="0.2">
      <c r="B219" s="187" t="s">
        <v>57</v>
      </c>
      <c r="C219" s="133" t="s">
        <v>243</v>
      </c>
      <c r="D219" s="15" t="s">
        <v>339</v>
      </c>
      <c r="E219" s="16" t="s">
        <v>62</v>
      </c>
      <c r="F219" s="207">
        <v>42902</v>
      </c>
      <c r="I219" s="138" t="s">
        <v>93</v>
      </c>
      <c r="AB219">
        <v>7</v>
      </c>
    </row>
    <row r="220" spans="2:28" x14ac:dyDescent="0.2">
      <c r="B220" s="13"/>
      <c r="C220" s="15"/>
      <c r="D220" s="15"/>
      <c r="E220" s="18"/>
      <c r="F220" s="19"/>
      <c r="I220" s="138" t="s">
        <v>93</v>
      </c>
      <c r="AB220">
        <v>8</v>
      </c>
    </row>
    <row r="221" spans="2:28" x14ac:dyDescent="0.2">
      <c r="B221" s="20"/>
      <c r="C221" s="21" t="s">
        <v>89</v>
      </c>
      <c r="D221" s="217" t="s">
        <v>380</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173" t="s">
        <v>297</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173" t="s">
        <v>298</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173" t="s">
        <v>342</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6" t="s">
        <v>269</v>
      </c>
      <c r="C232" s="26">
        <v>1</v>
      </c>
      <c r="D232" s="173" t="s">
        <v>299</v>
      </c>
      <c r="E232" s="207">
        <v>42959</v>
      </c>
      <c r="F232" s="207"/>
      <c r="I232" s="138" t="s">
        <v>93</v>
      </c>
      <c r="AB232">
        <v>20</v>
      </c>
    </row>
    <row r="233" spans="2:28" x14ac:dyDescent="0.2">
      <c r="B233" s="218" t="s">
        <v>269</v>
      </c>
      <c r="C233" s="26">
        <v>2</v>
      </c>
      <c r="D233" s="173" t="s">
        <v>300</v>
      </c>
      <c r="E233" s="207">
        <v>42959</v>
      </c>
      <c r="F233" s="207"/>
      <c r="I233" s="138" t="s">
        <v>93</v>
      </c>
      <c r="AB233">
        <v>21</v>
      </c>
    </row>
    <row r="234" spans="2:28" ht="25.5" x14ac:dyDescent="0.2">
      <c r="B234" s="216" t="s">
        <v>269</v>
      </c>
      <c r="C234" s="26">
        <v>3</v>
      </c>
      <c r="D234" s="173" t="s">
        <v>301</v>
      </c>
      <c r="E234" s="207">
        <v>42959</v>
      </c>
      <c r="F234" s="207"/>
      <c r="I234" s="138" t="s">
        <v>93</v>
      </c>
      <c r="AB234">
        <v>22</v>
      </c>
    </row>
    <row r="235" spans="2:28" ht="25.5" x14ac:dyDescent="0.2">
      <c r="B235" s="218" t="s">
        <v>269</v>
      </c>
      <c r="C235" s="26">
        <v>4</v>
      </c>
      <c r="D235" s="173" t="s">
        <v>302</v>
      </c>
      <c r="E235" s="207">
        <v>42959</v>
      </c>
      <c r="F235" s="207"/>
      <c r="I235" s="138" t="s">
        <v>93</v>
      </c>
      <c r="AB235">
        <v>23</v>
      </c>
    </row>
    <row r="236" spans="2:28" ht="13.5" thickBot="1" x14ac:dyDescent="0.25">
      <c r="B236" s="220" t="s">
        <v>269</v>
      </c>
      <c r="C236" s="30">
        <v>5</v>
      </c>
      <c r="D236" s="221" t="s">
        <v>303</v>
      </c>
      <c r="E236" s="207">
        <v>42959</v>
      </c>
      <c r="F236" s="207"/>
      <c r="I236" s="138" t="s">
        <v>93</v>
      </c>
      <c r="AB236">
        <v>24</v>
      </c>
    </row>
    <row r="237" spans="2:28" ht="6" customHeight="1" thickBot="1" x14ac:dyDescent="0.25">
      <c r="B237" s="12"/>
      <c r="F237" s="184"/>
      <c r="I237" s="138" t="s">
        <v>93</v>
      </c>
      <c r="AB237">
        <v>25</v>
      </c>
    </row>
    <row r="238" spans="2:28" ht="13.5" thickBot="1" x14ac:dyDescent="0.25">
      <c r="B238" s="164" t="s">
        <v>109</v>
      </c>
      <c r="C238" s="219" t="s">
        <v>304</v>
      </c>
      <c r="D238" s="212" t="s">
        <v>258</v>
      </c>
      <c r="E238" s="167" t="s">
        <v>51</v>
      </c>
      <c r="F238" s="168" t="s">
        <v>272</v>
      </c>
      <c r="I238" s="138" t="s">
        <v>93</v>
      </c>
      <c r="AB238">
        <v>1</v>
      </c>
    </row>
    <row r="239" spans="2:28" ht="15" x14ac:dyDescent="0.2">
      <c r="B239" s="190" t="s">
        <v>215</v>
      </c>
      <c r="C239" s="228" t="s">
        <v>381</v>
      </c>
      <c r="D239" s="192"/>
      <c r="E239" s="21"/>
      <c r="F239" s="193"/>
      <c r="I239" s="138"/>
    </row>
    <row r="240" spans="2:28" x14ac:dyDescent="0.2">
      <c r="B240" s="13" t="s">
        <v>39</v>
      </c>
      <c r="C240" s="207">
        <v>42902</v>
      </c>
      <c r="D240" s="15" t="str">
        <f>IF(OR(C243="",C244=""),"",VLOOKUP(CONCATENATE(C243," - ",C244),Exposure,2))</f>
        <v>Y</v>
      </c>
      <c r="E240" s="16" t="s">
        <v>135</v>
      </c>
      <c r="F240" s="113">
        <v>9</v>
      </c>
      <c r="I240" s="138" t="s">
        <v>93</v>
      </c>
      <c r="AB240">
        <v>2</v>
      </c>
    </row>
    <row r="241" spans="2:28" x14ac:dyDescent="0.2">
      <c r="B241" s="13" t="s">
        <v>84</v>
      </c>
      <c r="C241" s="216" t="s">
        <v>269</v>
      </c>
      <c r="D241" s="15" t="s">
        <v>126</v>
      </c>
      <c r="E241" s="16" t="s">
        <v>56</v>
      </c>
      <c r="F241" s="134" t="s">
        <v>292</v>
      </c>
      <c r="I241" s="138" t="s">
        <v>93</v>
      </c>
      <c r="AB241">
        <v>3</v>
      </c>
    </row>
    <row r="242" spans="2:28" x14ac:dyDescent="0.2">
      <c r="B242" s="13" t="s">
        <v>85</v>
      </c>
      <c r="C242" s="218" t="s">
        <v>269</v>
      </c>
      <c r="D242" s="18"/>
      <c r="E242" s="16" t="s">
        <v>91</v>
      </c>
      <c r="F242" s="134" t="s">
        <v>106</v>
      </c>
      <c r="I242" s="138" t="s">
        <v>93</v>
      </c>
      <c r="AB242">
        <v>4</v>
      </c>
    </row>
    <row r="243" spans="2:28" x14ac:dyDescent="0.2">
      <c r="B243" s="13" t="s">
        <v>44</v>
      </c>
      <c r="C243" s="133" t="s">
        <v>249</v>
      </c>
      <c r="D243" s="49" t="str">
        <f>IF(C243="","WARNING - Please enter a Probability.","")</f>
        <v/>
      </c>
      <c r="E243" s="16" t="s">
        <v>60</v>
      </c>
      <c r="F243" s="134" t="s">
        <v>107</v>
      </c>
      <c r="I243" s="138" t="s">
        <v>93</v>
      </c>
      <c r="AB243">
        <v>5</v>
      </c>
    </row>
    <row r="244" spans="2:28" x14ac:dyDescent="0.2">
      <c r="B244" s="13" t="s">
        <v>50</v>
      </c>
      <c r="C244" s="133" t="s">
        <v>242</v>
      </c>
      <c r="D244" s="15" t="s">
        <v>96</v>
      </c>
      <c r="E244" s="16" t="s">
        <v>61</v>
      </c>
      <c r="F244" s="207">
        <v>42902</v>
      </c>
      <c r="I244" s="138" t="s">
        <v>93</v>
      </c>
      <c r="AB244">
        <v>6</v>
      </c>
    </row>
    <row r="245" spans="2:28" ht="25.5" x14ac:dyDescent="0.2">
      <c r="B245" s="187" t="s">
        <v>57</v>
      </c>
      <c r="C245" s="133" t="s">
        <v>95</v>
      </c>
      <c r="D245" s="15" t="s">
        <v>339</v>
      </c>
      <c r="E245" s="16" t="s">
        <v>62</v>
      </c>
      <c r="F245" s="207">
        <v>42902</v>
      </c>
      <c r="I245" s="138" t="s">
        <v>93</v>
      </c>
      <c r="AB245">
        <v>7</v>
      </c>
    </row>
    <row r="246" spans="2:28" x14ac:dyDescent="0.2">
      <c r="B246" s="13"/>
      <c r="C246" s="15"/>
      <c r="D246" s="15"/>
      <c r="E246" s="18"/>
      <c r="F246" s="19"/>
      <c r="I246" s="138" t="s">
        <v>93</v>
      </c>
      <c r="AB246">
        <v>8</v>
      </c>
    </row>
    <row r="247" spans="2:28" x14ac:dyDescent="0.2">
      <c r="B247" s="20"/>
      <c r="C247" s="21" t="s">
        <v>89</v>
      </c>
      <c r="D247" s="217" t="s">
        <v>382</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173" t="s">
        <v>383</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173" t="s">
        <v>305</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173" t="s">
        <v>342</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22" t="s">
        <v>269</v>
      </c>
      <c r="C258" s="26">
        <v>1</v>
      </c>
      <c r="D258" s="173" t="s">
        <v>384</v>
      </c>
      <c r="E258" s="207">
        <v>42906</v>
      </c>
      <c r="F258" s="28"/>
      <c r="I258" s="138" t="s">
        <v>93</v>
      </c>
      <c r="AB258">
        <v>20</v>
      </c>
    </row>
    <row r="259" spans="2:28" x14ac:dyDescent="0.2">
      <c r="B259" s="222" t="s">
        <v>269</v>
      </c>
      <c r="C259" s="26">
        <v>2</v>
      </c>
      <c r="D259" s="173" t="s">
        <v>385</v>
      </c>
      <c r="E259" s="207">
        <v>42909</v>
      </c>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9" t="s">
        <v>306</v>
      </c>
      <c r="D264" s="212" t="s">
        <v>259</v>
      </c>
      <c r="E264" s="167" t="s">
        <v>51</v>
      </c>
      <c r="F264" s="168" t="s">
        <v>268</v>
      </c>
      <c r="I264" s="138" t="s">
        <v>93</v>
      </c>
      <c r="AB264">
        <v>1</v>
      </c>
    </row>
    <row r="265" spans="2:28" ht="15" x14ac:dyDescent="0.2">
      <c r="B265" s="190" t="s">
        <v>215</v>
      </c>
      <c r="C265" s="228" t="s">
        <v>381</v>
      </c>
      <c r="D265" s="192"/>
      <c r="E265" s="21"/>
      <c r="F265" s="193"/>
      <c r="I265" s="138"/>
    </row>
    <row r="266" spans="2:28" x14ac:dyDescent="0.2">
      <c r="B266" s="13" t="s">
        <v>39</v>
      </c>
      <c r="C266" s="207">
        <v>42902</v>
      </c>
      <c r="D266" s="15" t="str">
        <f>IF(OR(C269="",C270=""),"",VLOOKUP(CONCATENATE(C269," - ",C270),Exposure,2))</f>
        <v>Y</v>
      </c>
      <c r="E266" s="16" t="s">
        <v>135</v>
      </c>
      <c r="F266" s="113">
        <v>8</v>
      </c>
      <c r="I266" s="138" t="s">
        <v>93</v>
      </c>
      <c r="AB266">
        <v>2</v>
      </c>
    </row>
    <row r="267" spans="2:28" x14ac:dyDescent="0.2">
      <c r="B267" s="13" t="s">
        <v>84</v>
      </c>
      <c r="C267" s="216" t="s">
        <v>269</v>
      </c>
      <c r="D267" s="15" t="s">
        <v>126</v>
      </c>
      <c r="E267" s="16" t="s">
        <v>56</v>
      </c>
      <c r="F267" s="134" t="s">
        <v>292</v>
      </c>
      <c r="I267" s="138" t="s">
        <v>93</v>
      </c>
      <c r="AB267">
        <v>3</v>
      </c>
    </row>
    <row r="268" spans="2:28" x14ac:dyDescent="0.2">
      <c r="B268" s="13" t="s">
        <v>85</v>
      </c>
      <c r="C268" s="218" t="s">
        <v>269</v>
      </c>
      <c r="D268" s="18"/>
      <c r="E268" s="16" t="s">
        <v>91</v>
      </c>
      <c r="F268" s="134" t="s">
        <v>106</v>
      </c>
      <c r="I268" s="138" t="s">
        <v>93</v>
      </c>
      <c r="AB268">
        <v>4</v>
      </c>
    </row>
    <row r="269" spans="2:28" x14ac:dyDescent="0.2">
      <c r="B269" s="13" t="s">
        <v>44</v>
      </c>
      <c r="C269" s="133" t="s">
        <v>249</v>
      </c>
      <c r="D269" s="49" t="str">
        <f>IF(C269="","WARNING - Please enter a Probability.","")</f>
        <v/>
      </c>
      <c r="E269" s="16" t="s">
        <v>60</v>
      </c>
      <c r="F269" s="134" t="s">
        <v>107</v>
      </c>
      <c r="I269" s="138" t="s">
        <v>93</v>
      </c>
      <c r="AB269">
        <v>5</v>
      </c>
    </row>
    <row r="270" spans="2:28" x14ac:dyDescent="0.2">
      <c r="B270" s="13" t="s">
        <v>50</v>
      </c>
      <c r="C270" s="133" t="s">
        <v>242</v>
      </c>
      <c r="D270" s="15" t="s">
        <v>96</v>
      </c>
      <c r="E270" s="16" t="s">
        <v>61</v>
      </c>
      <c r="F270" s="207">
        <v>42902</v>
      </c>
      <c r="I270" s="138" t="s">
        <v>93</v>
      </c>
      <c r="AB270">
        <v>6</v>
      </c>
    </row>
    <row r="271" spans="2:28" ht="25.5" x14ac:dyDescent="0.2">
      <c r="B271" s="187" t="s">
        <v>57</v>
      </c>
      <c r="C271" s="133" t="s">
        <v>95</v>
      </c>
      <c r="D271" s="15" t="s">
        <v>339</v>
      </c>
      <c r="E271" s="16" t="s">
        <v>62</v>
      </c>
      <c r="F271" s="207">
        <v>42902</v>
      </c>
      <c r="I271" s="138" t="s">
        <v>93</v>
      </c>
      <c r="AB271">
        <v>7</v>
      </c>
    </row>
    <row r="272" spans="2:28" x14ac:dyDescent="0.2">
      <c r="B272" s="13"/>
      <c r="C272" s="15"/>
      <c r="D272" s="15"/>
      <c r="E272" s="18"/>
      <c r="F272" s="19"/>
      <c r="I272" s="138" t="s">
        <v>93</v>
      </c>
      <c r="AB272">
        <v>8</v>
      </c>
    </row>
    <row r="273" spans="2:28" x14ac:dyDescent="0.2">
      <c r="B273" s="20"/>
      <c r="C273" s="21" t="s">
        <v>89</v>
      </c>
      <c r="D273" s="217" t="s">
        <v>382</v>
      </c>
      <c r="E273" s="18"/>
      <c r="F273" s="19"/>
      <c r="I273" s="138" t="s">
        <v>93</v>
      </c>
      <c r="AB273">
        <v>9</v>
      </c>
    </row>
    <row r="274" spans="2:28" ht="6" customHeight="1" x14ac:dyDescent="0.2">
      <c r="B274" s="20"/>
      <c r="C274" s="21"/>
      <c r="D274" s="22"/>
      <c r="E274" s="18"/>
      <c r="F274" s="19"/>
      <c r="I274" s="138" t="s">
        <v>93</v>
      </c>
      <c r="AB274">
        <v>10</v>
      </c>
    </row>
    <row r="275" spans="2:28" ht="38.25" x14ac:dyDescent="0.2">
      <c r="B275" s="20"/>
      <c r="C275" s="21" t="s">
        <v>90</v>
      </c>
      <c r="D275" s="173" t="s">
        <v>307</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173" t="s">
        <v>308</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173" t="s">
        <v>342</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16" t="s">
        <v>269</v>
      </c>
      <c r="C284" s="26">
        <v>1</v>
      </c>
      <c r="D284" s="173" t="s">
        <v>309</v>
      </c>
      <c r="E284" s="207">
        <v>42906</v>
      </c>
      <c r="F284" s="207"/>
      <c r="I284" s="138" t="s">
        <v>93</v>
      </c>
      <c r="AB284">
        <v>20</v>
      </c>
    </row>
    <row r="285" spans="2:28" x14ac:dyDescent="0.2">
      <c r="B285" s="222" t="s">
        <v>269</v>
      </c>
      <c r="C285" s="26">
        <v>2</v>
      </c>
      <c r="D285" s="173" t="s">
        <v>310</v>
      </c>
      <c r="E285" s="207">
        <v>42906</v>
      </c>
      <c r="F285" s="207"/>
      <c r="I285" s="138" t="s">
        <v>93</v>
      </c>
      <c r="AB285">
        <v>21</v>
      </c>
    </row>
    <row r="286" spans="2:28" x14ac:dyDescent="0.2">
      <c r="B286" s="222" t="s">
        <v>269</v>
      </c>
      <c r="C286" s="26">
        <v>3</v>
      </c>
      <c r="D286" s="173" t="s">
        <v>311</v>
      </c>
      <c r="E286" s="207">
        <v>42909</v>
      </c>
      <c r="F286" s="207"/>
      <c r="I286" s="138" t="s">
        <v>93</v>
      </c>
      <c r="AB286">
        <v>22</v>
      </c>
    </row>
    <row r="287" spans="2:28" x14ac:dyDescent="0.2">
      <c r="B287" s="25"/>
      <c r="C287" s="26"/>
      <c r="D287" s="22"/>
      <c r="E287" s="207"/>
      <c r="F287" s="207"/>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19" t="s">
        <v>312</v>
      </c>
      <c r="D290" s="212" t="s">
        <v>260</v>
      </c>
      <c r="E290" s="167" t="s">
        <v>51</v>
      </c>
      <c r="F290" s="168" t="s">
        <v>272</v>
      </c>
      <c r="I290" s="138" t="s">
        <v>93</v>
      </c>
      <c r="AB290">
        <v>1</v>
      </c>
    </row>
    <row r="291" spans="2:28" ht="15" x14ac:dyDescent="0.2">
      <c r="B291" s="190" t="s">
        <v>215</v>
      </c>
      <c r="C291" s="228" t="s">
        <v>381</v>
      </c>
      <c r="D291" s="192"/>
      <c r="E291" s="21"/>
      <c r="F291" s="193"/>
      <c r="I291" s="138"/>
    </row>
    <row r="292" spans="2:28" x14ac:dyDescent="0.2">
      <c r="B292" s="13" t="s">
        <v>39</v>
      </c>
      <c r="C292" s="207">
        <v>42902</v>
      </c>
      <c r="D292" s="15" t="str">
        <f>IF(OR(C295="",C296=""),"",VLOOKUP(CONCATENATE(C295," - ",C296),Exposure,2))</f>
        <v>Y</v>
      </c>
      <c r="E292" s="16" t="s">
        <v>135</v>
      </c>
      <c r="F292" s="113">
        <v>10</v>
      </c>
      <c r="I292" s="138" t="s">
        <v>93</v>
      </c>
      <c r="AB292">
        <v>2</v>
      </c>
    </row>
    <row r="293" spans="2:28" x14ac:dyDescent="0.2">
      <c r="B293" s="13" t="s">
        <v>84</v>
      </c>
      <c r="C293" s="216" t="s">
        <v>269</v>
      </c>
      <c r="D293" s="15" t="s">
        <v>126</v>
      </c>
      <c r="E293" s="16" t="s">
        <v>56</v>
      </c>
      <c r="F293" s="134" t="s">
        <v>292</v>
      </c>
      <c r="I293" s="138" t="s">
        <v>93</v>
      </c>
      <c r="AB293">
        <v>3</v>
      </c>
    </row>
    <row r="294" spans="2:28" x14ac:dyDescent="0.2">
      <c r="B294" s="13" t="s">
        <v>85</v>
      </c>
      <c r="C294" s="218" t="s">
        <v>269</v>
      </c>
      <c r="D294" s="18"/>
      <c r="E294" s="16" t="s">
        <v>91</v>
      </c>
      <c r="F294" s="134" t="s">
        <v>106</v>
      </c>
      <c r="I294" s="138" t="s">
        <v>93</v>
      </c>
      <c r="AB294">
        <v>4</v>
      </c>
    </row>
    <row r="295" spans="2:28" x14ac:dyDescent="0.2">
      <c r="B295" s="13" t="s">
        <v>44</v>
      </c>
      <c r="C295" s="133" t="s">
        <v>249</v>
      </c>
      <c r="D295" s="49" t="str">
        <f>IF(C295="","WARNING - Please enter a Probability.","")</f>
        <v/>
      </c>
      <c r="E295" s="16" t="s">
        <v>60</v>
      </c>
      <c r="F295" s="134" t="s">
        <v>107</v>
      </c>
      <c r="I295" s="138" t="s">
        <v>93</v>
      </c>
      <c r="AB295">
        <v>5</v>
      </c>
    </row>
    <row r="296" spans="2:28" x14ac:dyDescent="0.2">
      <c r="B296" s="13" t="s">
        <v>50</v>
      </c>
      <c r="C296" s="133" t="s">
        <v>249</v>
      </c>
      <c r="D296" s="15" t="s">
        <v>96</v>
      </c>
      <c r="E296" s="16" t="s">
        <v>61</v>
      </c>
      <c r="F296" s="207">
        <v>42902</v>
      </c>
      <c r="I296" s="138" t="s">
        <v>93</v>
      </c>
      <c r="AB296">
        <v>6</v>
      </c>
    </row>
    <row r="297" spans="2:28" ht="25.5" x14ac:dyDescent="0.2">
      <c r="B297" s="187" t="s">
        <v>57</v>
      </c>
      <c r="C297" s="133" t="s">
        <v>95</v>
      </c>
      <c r="D297" s="15" t="s">
        <v>339</v>
      </c>
      <c r="E297" s="16" t="s">
        <v>62</v>
      </c>
      <c r="F297" s="207">
        <v>42902</v>
      </c>
      <c r="I297" s="138" t="s">
        <v>93</v>
      </c>
      <c r="AB297">
        <v>7</v>
      </c>
    </row>
    <row r="298" spans="2:28" x14ac:dyDescent="0.2">
      <c r="B298" s="13"/>
      <c r="C298" s="15"/>
      <c r="D298" s="15"/>
      <c r="E298" s="18"/>
      <c r="F298" s="19"/>
      <c r="I298" s="138" t="s">
        <v>93</v>
      </c>
      <c r="AB298">
        <v>8</v>
      </c>
    </row>
    <row r="299" spans="2:28" ht="25.5" x14ac:dyDescent="0.2">
      <c r="B299" s="20"/>
      <c r="C299" s="21" t="s">
        <v>89</v>
      </c>
      <c r="D299" s="217" t="s">
        <v>386</v>
      </c>
      <c r="E299" s="18"/>
      <c r="F299" s="19"/>
      <c r="I299" s="138" t="s">
        <v>93</v>
      </c>
      <c r="AB299">
        <v>9</v>
      </c>
    </row>
    <row r="300" spans="2:28" ht="6" customHeight="1" x14ac:dyDescent="0.2">
      <c r="B300" s="20"/>
      <c r="C300" s="21"/>
      <c r="D300" s="22"/>
      <c r="E300" s="18"/>
      <c r="F300" s="19"/>
      <c r="I300" s="138" t="s">
        <v>93</v>
      </c>
      <c r="AB300">
        <v>10</v>
      </c>
    </row>
    <row r="301" spans="2:28" ht="38.25" x14ac:dyDescent="0.2">
      <c r="B301" s="20"/>
      <c r="C301" s="21" t="s">
        <v>90</v>
      </c>
      <c r="D301" s="173" t="s">
        <v>387</v>
      </c>
      <c r="E301" s="18"/>
      <c r="F301" s="19"/>
      <c r="I301" s="138" t="s">
        <v>93</v>
      </c>
      <c r="AB301">
        <v>11</v>
      </c>
    </row>
    <row r="302" spans="2:28" ht="6" customHeight="1" x14ac:dyDescent="0.2">
      <c r="B302" s="20"/>
      <c r="C302" s="21"/>
      <c r="D302" s="22"/>
      <c r="E302" s="18"/>
      <c r="F302" s="19"/>
      <c r="I302" s="138" t="s">
        <v>93</v>
      </c>
      <c r="AB302">
        <v>12</v>
      </c>
    </row>
    <row r="303" spans="2:28" ht="38.25" x14ac:dyDescent="0.2">
      <c r="B303" s="20"/>
      <c r="C303" s="21" t="s">
        <v>3</v>
      </c>
      <c r="D303" s="173" t="s">
        <v>388</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173" t="s">
        <v>342</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22" t="s">
        <v>269</v>
      </c>
      <c r="C310" s="26">
        <v>1</v>
      </c>
      <c r="D310" s="173" t="s">
        <v>389</v>
      </c>
      <c r="E310" s="207">
        <v>42906</v>
      </c>
      <c r="F310" s="28"/>
      <c r="I310" s="138" t="s">
        <v>93</v>
      </c>
      <c r="AB310">
        <v>20</v>
      </c>
    </row>
    <row r="311" spans="2:28" x14ac:dyDescent="0.2">
      <c r="B311" s="222" t="s">
        <v>269</v>
      </c>
      <c r="C311" s="26">
        <v>2</v>
      </c>
      <c r="D311" s="173" t="s">
        <v>390</v>
      </c>
      <c r="E311" s="207">
        <v>42909</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9" t="s">
        <v>315</v>
      </c>
      <c r="D316" s="212" t="s">
        <v>261</v>
      </c>
      <c r="E316" s="167" t="s">
        <v>51</v>
      </c>
      <c r="F316" s="168" t="s">
        <v>268</v>
      </c>
      <c r="I316" s="138" t="s">
        <v>93</v>
      </c>
      <c r="AB316">
        <v>1</v>
      </c>
    </row>
    <row r="317" spans="2:28" ht="14.25" x14ac:dyDescent="0.2">
      <c r="B317" s="190" t="s">
        <v>215</v>
      </c>
      <c r="C317" s="210" t="s">
        <v>252</v>
      </c>
      <c r="D317" s="192"/>
      <c r="E317" s="21"/>
      <c r="F317" s="193"/>
      <c r="I317" s="138"/>
    </row>
    <row r="318" spans="2:28" x14ac:dyDescent="0.2">
      <c r="B318" s="13" t="s">
        <v>39</v>
      </c>
      <c r="C318" s="207">
        <v>42902</v>
      </c>
      <c r="D318" s="15" t="str">
        <f>IF(OR(C321="",C322=""),"",VLOOKUP(CONCATENATE(C321," - ",C322),Exposure,2))</f>
        <v>Y</v>
      </c>
      <c r="E318" s="16" t="s">
        <v>135</v>
      </c>
      <c r="F318" s="113">
        <v>11</v>
      </c>
      <c r="I318" s="138" t="s">
        <v>93</v>
      </c>
      <c r="AB318">
        <v>2</v>
      </c>
    </row>
    <row r="319" spans="2:28" x14ac:dyDescent="0.2">
      <c r="B319" s="13" t="s">
        <v>84</v>
      </c>
      <c r="C319" s="216" t="s">
        <v>269</v>
      </c>
      <c r="D319" s="15" t="s">
        <v>126</v>
      </c>
      <c r="E319" s="16" t="s">
        <v>56</v>
      </c>
      <c r="F319" s="134" t="s">
        <v>276</v>
      </c>
      <c r="I319" s="138" t="s">
        <v>93</v>
      </c>
      <c r="AB319">
        <v>3</v>
      </c>
    </row>
    <row r="320" spans="2:28" x14ac:dyDescent="0.2">
      <c r="B320" s="13" t="s">
        <v>85</v>
      </c>
      <c r="C320" s="218" t="s">
        <v>269</v>
      </c>
      <c r="D320" s="18"/>
      <c r="E320" s="16" t="s">
        <v>91</v>
      </c>
      <c r="F320" s="134" t="s">
        <v>142</v>
      </c>
      <c r="I320" s="138" t="s">
        <v>93</v>
      </c>
      <c r="AB320">
        <v>4</v>
      </c>
    </row>
    <row r="321" spans="2:28" x14ac:dyDescent="0.2">
      <c r="B321" s="13" t="s">
        <v>44</v>
      </c>
      <c r="C321" s="133" t="s">
        <v>249</v>
      </c>
      <c r="D321" s="49" t="str">
        <f>IF(C321="","WARNING - Please enter a Probability.","")</f>
        <v/>
      </c>
      <c r="E321" s="16" t="s">
        <v>60</v>
      </c>
      <c r="F321" s="134" t="s">
        <v>107</v>
      </c>
      <c r="I321" s="138" t="s">
        <v>93</v>
      </c>
      <c r="AB321">
        <v>5</v>
      </c>
    </row>
    <row r="322" spans="2:28" x14ac:dyDescent="0.2">
      <c r="B322" s="13" t="s">
        <v>50</v>
      </c>
      <c r="C322" s="133" t="s">
        <v>249</v>
      </c>
      <c r="D322" s="15" t="s">
        <v>96</v>
      </c>
      <c r="E322" s="16" t="s">
        <v>61</v>
      </c>
      <c r="F322" s="207">
        <v>42902</v>
      </c>
      <c r="I322" s="138" t="s">
        <v>93</v>
      </c>
      <c r="AB322">
        <v>6</v>
      </c>
    </row>
    <row r="323" spans="2:28" ht="25.5" x14ac:dyDescent="0.2">
      <c r="B323" s="187" t="s">
        <v>57</v>
      </c>
      <c r="C323" s="133" t="s">
        <v>243</v>
      </c>
      <c r="D323" s="15" t="s">
        <v>339</v>
      </c>
      <c r="E323" s="16" t="s">
        <v>62</v>
      </c>
      <c r="F323" s="207">
        <v>42902</v>
      </c>
      <c r="I323" s="138" t="s">
        <v>93</v>
      </c>
      <c r="AB323">
        <v>7</v>
      </c>
    </row>
    <row r="324" spans="2:28" x14ac:dyDescent="0.2">
      <c r="B324" s="13"/>
      <c r="C324" s="15"/>
      <c r="D324" s="15"/>
      <c r="E324" s="18"/>
      <c r="F324" s="19"/>
      <c r="I324" s="138" t="s">
        <v>93</v>
      </c>
      <c r="AB324">
        <v>8</v>
      </c>
    </row>
    <row r="325" spans="2:28" x14ac:dyDescent="0.2">
      <c r="B325" s="20"/>
      <c r="C325" s="21" t="s">
        <v>89</v>
      </c>
      <c r="D325" s="217" t="s">
        <v>392</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173" t="s">
        <v>391</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173" t="s">
        <v>313</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342</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18" t="s">
        <v>269</v>
      </c>
      <c r="C336" s="26">
        <v>1</v>
      </c>
      <c r="D336" s="223" t="s">
        <v>314</v>
      </c>
      <c r="E336" s="207">
        <v>42899</v>
      </c>
      <c r="F336" s="207"/>
      <c r="I336" s="138" t="s">
        <v>93</v>
      </c>
      <c r="AB336">
        <v>20</v>
      </c>
    </row>
    <row r="337" spans="2:28" x14ac:dyDescent="0.2">
      <c r="B337" s="218" t="s">
        <v>269</v>
      </c>
      <c r="C337" s="26">
        <v>2</v>
      </c>
      <c r="D337" s="173" t="s">
        <v>393</v>
      </c>
      <c r="E337" s="207">
        <v>42899</v>
      </c>
      <c r="F337" s="207"/>
      <c r="I337" s="138" t="s">
        <v>93</v>
      </c>
      <c r="AB337">
        <v>21</v>
      </c>
    </row>
    <row r="338" spans="2:28" x14ac:dyDescent="0.2">
      <c r="B338" s="218"/>
      <c r="C338" s="26"/>
      <c r="D338" s="22"/>
      <c r="E338" s="207"/>
      <c r="F338" s="207"/>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9" t="s">
        <v>316</v>
      </c>
      <c r="D342" s="212" t="s">
        <v>262</v>
      </c>
      <c r="E342" s="167" t="s">
        <v>51</v>
      </c>
      <c r="F342" s="168" t="s">
        <v>244</v>
      </c>
      <c r="I342" s="138" t="s">
        <v>93</v>
      </c>
      <c r="AB342">
        <v>1</v>
      </c>
    </row>
    <row r="343" spans="2:28" ht="14.25" x14ac:dyDescent="0.2">
      <c r="B343" s="190" t="s">
        <v>215</v>
      </c>
      <c r="C343" s="210">
        <v>2.2999999999999998</v>
      </c>
      <c r="D343" s="192"/>
      <c r="E343" s="21"/>
      <c r="F343" s="193"/>
      <c r="I343" s="138"/>
    </row>
    <row r="344" spans="2:28" x14ac:dyDescent="0.2">
      <c r="B344" s="13" t="s">
        <v>39</v>
      </c>
      <c r="C344" s="207">
        <v>42902</v>
      </c>
      <c r="D344" s="15" t="str">
        <f>IF(OR(C347="",C348=""),"",VLOOKUP(CONCATENATE(C347," - ",C348),Exposure,2))</f>
        <v>R</v>
      </c>
      <c r="E344" s="16" t="s">
        <v>135</v>
      </c>
      <c r="F344" s="113">
        <v>1</v>
      </c>
      <c r="I344" s="138" t="s">
        <v>93</v>
      </c>
      <c r="AB344">
        <v>2</v>
      </c>
    </row>
    <row r="345" spans="2:28" x14ac:dyDescent="0.2">
      <c r="B345" s="13" t="s">
        <v>84</v>
      </c>
      <c r="C345" s="216" t="s">
        <v>269</v>
      </c>
      <c r="D345" s="15" t="s">
        <v>126</v>
      </c>
      <c r="E345" s="16" t="s">
        <v>56</v>
      </c>
      <c r="F345" s="134" t="s">
        <v>276</v>
      </c>
      <c r="I345" s="138" t="s">
        <v>93</v>
      </c>
      <c r="AB345">
        <v>3</v>
      </c>
    </row>
    <row r="346" spans="2:28" x14ac:dyDescent="0.2">
      <c r="B346" s="13" t="s">
        <v>85</v>
      </c>
      <c r="C346" s="218" t="s">
        <v>269</v>
      </c>
      <c r="D346" s="18"/>
      <c r="E346" s="16" t="s">
        <v>91</v>
      </c>
      <c r="F346" s="134" t="s">
        <v>106</v>
      </c>
      <c r="I346" s="138" t="s">
        <v>93</v>
      </c>
      <c r="AB346">
        <v>4</v>
      </c>
    </row>
    <row r="347" spans="2:28" x14ac:dyDescent="0.2">
      <c r="B347" s="13" t="s">
        <v>44</v>
      </c>
      <c r="C347" s="133" t="s">
        <v>242</v>
      </c>
      <c r="D347" s="49" t="str">
        <f>IF(C347="","WARNING - Please enter a Probability.","")</f>
        <v/>
      </c>
      <c r="E347" s="16" t="s">
        <v>60</v>
      </c>
      <c r="F347" s="134" t="s">
        <v>107</v>
      </c>
      <c r="I347" s="138" t="s">
        <v>93</v>
      </c>
      <c r="AB347">
        <v>5</v>
      </c>
    </row>
    <row r="348" spans="2:28" x14ac:dyDescent="0.2">
      <c r="B348" s="13" t="s">
        <v>50</v>
      </c>
      <c r="C348" s="133" t="s">
        <v>242</v>
      </c>
      <c r="D348" s="15" t="s">
        <v>96</v>
      </c>
      <c r="E348" s="16" t="s">
        <v>61</v>
      </c>
      <c r="F348" s="207">
        <v>42902</v>
      </c>
      <c r="I348" s="138" t="s">
        <v>93</v>
      </c>
      <c r="AB348">
        <v>6</v>
      </c>
    </row>
    <row r="349" spans="2:28" ht="25.5" x14ac:dyDescent="0.2">
      <c r="B349" s="187" t="s">
        <v>57</v>
      </c>
      <c r="C349" s="133" t="s">
        <v>374</v>
      </c>
      <c r="D349" s="15" t="s">
        <v>339</v>
      </c>
      <c r="E349" s="16" t="s">
        <v>62</v>
      </c>
      <c r="F349" s="207">
        <v>42902</v>
      </c>
      <c r="I349" s="138" t="s">
        <v>93</v>
      </c>
      <c r="AB349">
        <v>7</v>
      </c>
    </row>
    <row r="350" spans="2:28" x14ac:dyDescent="0.2">
      <c r="B350" s="13"/>
      <c r="C350" s="15"/>
      <c r="D350" s="15"/>
      <c r="E350" s="18"/>
      <c r="F350" s="19"/>
      <c r="I350" s="138" t="s">
        <v>93</v>
      </c>
      <c r="AB350">
        <v>8</v>
      </c>
    </row>
    <row r="351" spans="2:28" ht="25.5" x14ac:dyDescent="0.2">
      <c r="B351" s="20"/>
      <c r="C351" s="21" t="s">
        <v>89</v>
      </c>
      <c r="D351" s="217" t="s">
        <v>395</v>
      </c>
      <c r="E351" s="18"/>
      <c r="F351" s="19"/>
      <c r="I351" s="138" t="s">
        <v>93</v>
      </c>
      <c r="AB351">
        <v>9</v>
      </c>
    </row>
    <row r="352" spans="2:28" ht="6" customHeight="1" x14ac:dyDescent="0.2">
      <c r="B352" s="20"/>
      <c r="C352" s="21"/>
      <c r="D352" s="22"/>
      <c r="E352" s="18"/>
      <c r="F352" s="19"/>
      <c r="I352" s="138" t="s">
        <v>93</v>
      </c>
      <c r="AB352">
        <v>10</v>
      </c>
    </row>
    <row r="353" spans="2:28" ht="38.25" x14ac:dyDescent="0.2">
      <c r="B353" s="20"/>
      <c r="C353" s="21" t="s">
        <v>90</v>
      </c>
      <c r="D353" s="173" t="s">
        <v>394</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173" t="s">
        <v>317</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173" t="s">
        <v>342</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22" t="s">
        <v>269</v>
      </c>
      <c r="C362" s="26">
        <v>1</v>
      </c>
      <c r="D362" s="173" t="s">
        <v>397</v>
      </c>
      <c r="E362" s="207">
        <v>42856</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19" t="s">
        <v>318</v>
      </c>
      <c r="D368" s="212" t="s">
        <v>396</v>
      </c>
      <c r="E368" s="167" t="s">
        <v>51</v>
      </c>
      <c r="F368" s="168" t="s">
        <v>272</v>
      </c>
      <c r="I368" s="138" t="s">
        <v>93</v>
      </c>
      <c r="AB368">
        <v>1</v>
      </c>
    </row>
    <row r="369" spans="2:28" ht="14.25" x14ac:dyDescent="0.2">
      <c r="B369" s="190" t="s">
        <v>215</v>
      </c>
      <c r="C369" s="210">
        <v>2.2999999999999998</v>
      </c>
      <c r="D369" s="192"/>
      <c r="E369" s="21"/>
      <c r="F369" s="193"/>
      <c r="I369" s="138"/>
    </row>
    <row r="370" spans="2:28" x14ac:dyDescent="0.2">
      <c r="B370" s="13" t="s">
        <v>39</v>
      </c>
      <c r="C370" s="207">
        <v>42902</v>
      </c>
      <c r="D370" s="15" t="str">
        <f>IF(OR(C373="",C374=""),"",VLOOKUP(CONCATENATE(C373," - ",C374),Exposure,2))</f>
        <v>Y</v>
      </c>
      <c r="E370" s="16" t="s">
        <v>135</v>
      </c>
      <c r="F370" s="113">
        <v>12</v>
      </c>
      <c r="I370" s="138" t="s">
        <v>93</v>
      </c>
      <c r="AB370">
        <v>2</v>
      </c>
    </row>
    <row r="371" spans="2:28" x14ac:dyDescent="0.2">
      <c r="B371" s="13" t="s">
        <v>84</v>
      </c>
      <c r="C371" s="216" t="s">
        <v>269</v>
      </c>
      <c r="D371" s="15" t="s">
        <v>126</v>
      </c>
      <c r="E371" s="16" t="s">
        <v>56</v>
      </c>
      <c r="F371" s="134" t="s">
        <v>276</v>
      </c>
      <c r="I371" s="138" t="s">
        <v>93</v>
      </c>
      <c r="AB371">
        <v>3</v>
      </c>
    </row>
    <row r="372" spans="2:28" x14ac:dyDescent="0.2">
      <c r="B372" s="13" t="s">
        <v>85</v>
      </c>
      <c r="C372" s="218" t="s">
        <v>269</v>
      </c>
      <c r="D372" s="18"/>
      <c r="E372" s="16" t="s">
        <v>91</v>
      </c>
      <c r="F372" s="134" t="s">
        <v>142</v>
      </c>
      <c r="I372" s="138" t="s">
        <v>93</v>
      </c>
      <c r="AB372">
        <v>4</v>
      </c>
    </row>
    <row r="373" spans="2:28" x14ac:dyDescent="0.2">
      <c r="B373" s="13" t="s">
        <v>44</v>
      </c>
      <c r="C373" s="133" t="s">
        <v>249</v>
      </c>
      <c r="D373" s="49" t="str">
        <f>IF(C373="","WARNING - Please enter a Probability.","")</f>
        <v/>
      </c>
      <c r="E373" s="16" t="s">
        <v>60</v>
      </c>
      <c r="F373" s="134" t="s">
        <v>107</v>
      </c>
      <c r="I373" s="138" t="s">
        <v>93</v>
      </c>
      <c r="AB373">
        <v>5</v>
      </c>
    </row>
    <row r="374" spans="2:28" x14ac:dyDescent="0.2">
      <c r="B374" s="13" t="s">
        <v>50</v>
      </c>
      <c r="C374" s="133" t="s">
        <v>242</v>
      </c>
      <c r="D374" s="15" t="s">
        <v>96</v>
      </c>
      <c r="E374" s="16" t="s">
        <v>61</v>
      </c>
      <c r="F374" s="207">
        <v>42902</v>
      </c>
      <c r="I374" s="138" t="s">
        <v>93</v>
      </c>
      <c r="AB374">
        <v>6</v>
      </c>
    </row>
    <row r="375" spans="2:28" ht="25.5" x14ac:dyDescent="0.2">
      <c r="B375" s="187" t="s">
        <v>57</v>
      </c>
      <c r="C375" s="133" t="s">
        <v>374</v>
      </c>
      <c r="D375" s="15" t="s">
        <v>339</v>
      </c>
      <c r="E375" s="16" t="s">
        <v>62</v>
      </c>
      <c r="F375" s="207">
        <v>42902</v>
      </c>
      <c r="I375" s="138" t="s">
        <v>93</v>
      </c>
      <c r="AB375">
        <v>7</v>
      </c>
    </row>
    <row r="376" spans="2:28" x14ac:dyDescent="0.2">
      <c r="B376" s="13"/>
      <c r="C376" s="15"/>
      <c r="D376" s="15"/>
      <c r="E376" s="18"/>
      <c r="F376" s="19"/>
      <c r="I376" s="138" t="s">
        <v>93</v>
      </c>
      <c r="AB376">
        <v>8</v>
      </c>
    </row>
    <row r="377" spans="2:28" ht="38.25" x14ac:dyDescent="0.2">
      <c r="B377" s="20"/>
      <c r="C377" s="21" t="s">
        <v>89</v>
      </c>
      <c r="D377" s="217" t="s">
        <v>398</v>
      </c>
      <c r="E377" s="18"/>
      <c r="F377" s="19"/>
      <c r="I377" s="138" t="s">
        <v>93</v>
      </c>
      <c r="AB377">
        <v>9</v>
      </c>
    </row>
    <row r="378" spans="2:28" ht="6" customHeight="1" x14ac:dyDescent="0.2">
      <c r="B378" s="20"/>
      <c r="C378" s="21"/>
      <c r="D378" s="22"/>
      <c r="E378" s="18"/>
      <c r="F378" s="19"/>
      <c r="I378" s="138" t="s">
        <v>93</v>
      </c>
      <c r="AB378">
        <v>10</v>
      </c>
    </row>
    <row r="379" spans="2:28" ht="38.25" x14ac:dyDescent="0.2">
      <c r="B379" s="20"/>
      <c r="C379" s="21" t="s">
        <v>90</v>
      </c>
      <c r="D379" s="173" t="s">
        <v>319</v>
      </c>
      <c r="E379" s="18"/>
      <c r="F379" s="19"/>
      <c r="I379" s="138" t="s">
        <v>93</v>
      </c>
      <c r="AB379">
        <v>11</v>
      </c>
    </row>
    <row r="380" spans="2:28" ht="6" customHeight="1" x14ac:dyDescent="0.2">
      <c r="B380" s="20"/>
      <c r="C380" s="21"/>
      <c r="D380" s="22"/>
      <c r="E380" s="18"/>
      <c r="F380" s="19"/>
      <c r="I380" s="138" t="s">
        <v>93</v>
      </c>
      <c r="AB380">
        <v>12</v>
      </c>
    </row>
    <row r="381" spans="2:28" ht="38.25" x14ac:dyDescent="0.2">
      <c r="B381" s="20"/>
      <c r="C381" s="21" t="s">
        <v>3</v>
      </c>
      <c r="D381" s="173" t="s">
        <v>320</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173" t="s">
        <v>342</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22" t="s">
        <v>269</v>
      </c>
      <c r="C388" s="26">
        <v>1</v>
      </c>
      <c r="D388" s="173" t="s">
        <v>399</v>
      </c>
      <c r="E388" s="207">
        <v>42856</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9" t="s">
        <v>321</v>
      </c>
      <c r="D394" s="212" t="s">
        <v>263</v>
      </c>
      <c r="E394" s="167" t="s">
        <v>51</v>
      </c>
      <c r="F394" s="168" t="s">
        <v>272</v>
      </c>
      <c r="I394" s="138" t="s">
        <v>93</v>
      </c>
      <c r="AB394">
        <v>1</v>
      </c>
    </row>
    <row r="395" spans="2:28" ht="15" x14ac:dyDescent="0.2">
      <c r="B395" s="190" t="s">
        <v>215</v>
      </c>
      <c r="C395" s="228" t="s">
        <v>381</v>
      </c>
      <c r="D395" s="192"/>
      <c r="E395" s="21"/>
      <c r="F395" s="193"/>
      <c r="I395" s="138"/>
    </row>
    <row r="396" spans="2:28" x14ac:dyDescent="0.2">
      <c r="B396" s="13" t="s">
        <v>39</v>
      </c>
      <c r="C396" s="207">
        <v>42902</v>
      </c>
      <c r="D396" s="15" t="str">
        <f>IF(OR(C399="",C400=""),"",VLOOKUP(CONCATENATE(C399," - ",C400),Exposure,2))</f>
        <v>Y</v>
      </c>
      <c r="E396" s="16" t="s">
        <v>135</v>
      </c>
      <c r="F396" s="113">
        <v>5</v>
      </c>
      <c r="I396" s="138" t="s">
        <v>93</v>
      </c>
      <c r="AB396">
        <v>2</v>
      </c>
    </row>
    <row r="397" spans="2:28" x14ac:dyDescent="0.2">
      <c r="B397" s="13" t="s">
        <v>84</v>
      </c>
      <c r="C397" s="216" t="s">
        <v>269</v>
      </c>
      <c r="D397" s="15" t="s">
        <v>126</v>
      </c>
      <c r="E397" s="16" t="s">
        <v>56</v>
      </c>
      <c r="F397" s="134" t="s">
        <v>292</v>
      </c>
      <c r="I397" s="138" t="s">
        <v>93</v>
      </c>
      <c r="AB397">
        <v>3</v>
      </c>
    </row>
    <row r="398" spans="2:28" x14ac:dyDescent="0.2">
      <c r="B398" s="13" t="s">
        <v>85</v>
      </c>
      <c r="C398" s="218" t="s">
        <v>269</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242</v>
      </c>
      <c r="D400" s="15" t="s">
        <v>96</v>
      </c>
      <c r="E400" s="16" t="s">
        <v>61</v>
      </c>
      <c r="F400" s="207">
        <v>42902</v>
      </c>
      <c r="I400" s="138" t="s">
        <v>93</v>
      </c>
      <c r="AB400">
        <v>6</v>
      </c>
    </row>
    <row r="401" spans="2:28" ht="25.5" x14ac:dyDescent="0.2">
      <c r="B401" s="187" t="s">
        <v>57</v>
      </c>
      <c r="C401" s="133" t="s">
        <v>95</v>
      </c>
      <c r="D401" s="15" t="s">
        <v>339</v>
      </c>
      <c r="E401" s="16" t="s">
        <v>62</v>
      </c>
      <c r="F401" s="207">
        <v>42902</v>
      </c>
      <c r="I401" s="138" t="s">
        <v>93</v>
      </c>
      <c r="AB401">
        <v>7</v>
      </c>
    </row>
    <row r="402" spans="2:28" x14ac:dyDescent="0.2">
      <c r="B402" s="13"/>
      <c r="C402" s="15"/>
      <c r="D402" s="15"/>
      <c r="E402" s="18"/>
      <c r="F402" s="19"/>
      <c r="I402" s="138" t="s">
        <v>93</v>
      </c>
      <c r="AB402">
        <v>8</v>
      </c>
    </row>
    <row r="403" spans="2:28" ht="25.5" x14ac:dyDescent="0.2">
      <c r="B403" s="20"/>
      <c r="C403" s="21" t="s">
        <v>89</v>
      </c>
      <c r="D403" s="217" t="s">
        <v>400</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246</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22" t="s">
        <v>247</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173" t="s">
        <v>342</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22" t="s">
        <v>269</v>
      </c>
      <c r="C414" s="26">
        <v>1</v>
      </c>
      <c r="D414" s="173" t="s">
        <v>401</v>
      </c>
      <c r="E414" s="207">
        <v>42906</v>
      </c>
      <c r="F414" s="28"/>
      <c r="I414" s="138" t="s">
        <v>93</v>
      </c>
      <c r="AB414">
        <v>20</v>
      </c>
    </row>
    <row r="415" spans="2:28" x14ac:dyDescent="0.2">
      <c r="B415" s="222" t="s">
        <v>269</v>
      </c>
      <c r="C415" s="26">
        <v>2</v>
      </c>
      <c r="D415" s="173" t="s">
        <v>402</v>
      </c>
      <c r="E415" s="207">
        <v>42909</v>
      </c>
      <c r="F415" s="28"/>
      <c r="I415" s="138" t="s">
        <v>93</v>
      </c>
      <c r="AB415">
        <v>21</v>
      </c>
    </row>
    <row r="416" spans="2:28" x14ac:dyDescent="0.2">
      <c r="B416" s="25"/>
      <c r="C416" s="26"/>
      <c r="D416" s="22"/>
      <c r="E416" s="20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26.25" thickBot="1" x14ac:dyDescent="0.25">
      <c r="B420" s="164" t="s">
        <v>109</v>
      </c>
      <c r="C420" s="219" t="s">
        <v>322</v>
      </c>
      <c r="D420" s="212" t="s">
        <v>403</v>
      </c>
      <c r="E420" s="167" t="s">
        <v>51</v>
      </c>
      <c r="F420" s="168" t="s">
        <v>272</v>
      </c>
      <c r="I420" s="138" t="s">
        <v>93</v>
      </c>
      <c r="AB420">
        <v>1</v>
      </c>
    </row>
    <row r="421" spans="2:28" ht="15" x14ac:dyDescent="0.2">
      <c r="B421" s="190" t="s">
        <v>215</v>
      </c>
      <c r="C421" s="228">
        <v>2.2000000000000002</v>
      </c>
      <c r="D421" s="192"/>
      <c r="E421" s="21"/>
      <c r="F421" s="193"/>
      <c r="I421" s="138"/>
    </row>
    <row r="422" spans="2:28" x14ac:dyDescent="0.2">
      <c r="B422" s="13" t="s">
        <v>39</v>
      </c>
      <c r="C422" s="207">
        <v>42902</v>
      </c>
      <c r="D422" s="15" t="str">
        <f>IF(OR(C425="",C426=""),"",VLOOKUP(CONCATENATE(C425," - ",C426),Exposure,2))</f>
        <v>Y</v>
      </c>
      <c r="E422" s="16" t="s">
        <v>135</v>
      </c>
      <c r="F422" s="113">
        <v>4</v>
      </c>
      <c r="I422" s="138" t="s">
        <v>93</v>
      </c>
      <c r="AB422">
        <v>2</v>
      </c>
    </row>
    <row r="423" spans="2:28" x14ac:dyDescent="0.2">
      <c r="B423" s="13" t="s">
        <v>84</v>
      </c>
      <c r="C423" s="216" t="s">
        <v>269</v>
      </c>
      <c r="D423" s="15" t="s">
        <v>126</v>
      </c>
      <c r="E423" s="16" t="s">
        <v>56</v>
      </c>
      <c r="F423" s="134" t="s">
        <v>283</v>
      </c>
      <c r="I423" s="138" t="s">
        <v>93</v>
      </c>
      <c r="AB423">
        <v>3</v>
      </c>
    </row>
    <row r="424" spans="2:28" x14ac:dyDescent="0.2">
      <c r="B424" s="13" t="s">
        <v>85</v>
      </c>
      <c r="C424" s="218" t="s">
        <v>269</v>
      </c>
      <c r="D424" s="18"/>
      <c r="E424" s="16" t="s">
        <v>91</v>
      </c>
      <c r="F424" s="134" t="s">
        <v>106</v>
      </c>
      <c r="I424" s="138" t="s">
        <v>93</v>
      </c>
      <c r="AB424">
        <v>4</v>
      </c>
    </row>
    <row r="425" spans="2:28" x14ac:dyDescent="0.2">
      <c r="B425" s="13" t="s">
        <v>44</v>
      </c>
      <c r="C425" s="133" t="s">
        <v>249</v>
      </c>
      <c r="D425" s="49" t="str">
        <f>IF(C425="","WARNING - Please enter a Probability.","")</f>
        <v/>
      </c>
      <c r="E425" s="16" t="s">
        <v>60</v>
      </c>
      <c r="F425" s="134" t="s">
        <v>107</v>
      </c>
      <c r="I425" s="138" t="s">
        <v>93</v>
      </c>
      <c r="AB425">
        <v>5</v>
      </c>
    </row>
    <row r="426" spans="2:28" x14ac:dyDescent="0.2">
      <c r="B426" s="13" t="s">
        <v>50</v>
      </c>
      <c r="C426" s="133" t="s">
        <v>242</v>
      </c>
      <c r="D426" s="15" t="s">
        <v>96</v>
      </c>
      <c r="E426" s="16" t="s">
        <v>61</v>
      </c>
      <c r="F426" s="207">
        <v>42902</v>
      </c>
      <c r="I426" s="138" t="s">
        <v>93</v>
      </c>
      <c r="AB426">
        <v>6</v>
      </c>
    </row>
    <row r="427" spans="2:28" ht="25.5" x14ac:dyDescent="0.2">
      <c r="B427" s="187" t="s">
        <v>57</v>
      </c>
      <c r="C427" s="133" t="s">
        <v>243</v>
      </c>
      <c r="D427" s="15" t="s">
        <v>339</v>
      </c>
      <c r="E427" s="16" t="s">
        <v>62</v>
      </c>
      <c r="F427" s="207">
        <v>42902</v>
      </c>
      <c r="I427" s="138" t="s">
        <v>93</v>
      </c>
      <c r="AB427">
        <v>7</v>
      </c>
    </row>
    <row r="428" spans="2:28" x14ac:dyDescent="0.2">
      <c r="B428" s="13"/>
      <c r="C428" s="15"/>
      <c r="D428" s="15"/>
      <c r="E428" s="18"/>
      <c r="F428" s="19"/>
      <c r="I428" s="138" t="s">
        <v>93</v>
      </c>
      <c r="AB428">
        <v>8</v>
      </c>
    </row>
    <row r="429" spans="2:28" ht="25.5" x14ac:dyDescent="0.2">
      <c r="B429" s="20"/>
      <c r="C429" s="21" t="s">
        <v>89</v>
      </c>
      <c r="D429" s="224" t="s">
        <v>404</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173" t="s">
        <v>323</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173" t="s">
        <v>324</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173" t="s">
        <v>342</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22" t="s">
        <v>269</v>
      </c>
      <c r="C440" s="26">
        <v>1</v>
      </c>
      <c r="D440" s="173" t="s">
        <v>405</v>
      </c>
      <c r="E440" s="207">
        <v>42870</v>
      </c>
      <c r="F440" s="28"/>
      <c r="I440" s="138" t="s">
        <v>93</v>
      </c>
      <c r="AB440">
        <v>20</v>
      </c>
    </row>
    <row r="441" spans="2:28" x14ac:dyDescent="0.2">
      <c r="B441" s="222"/>
      <c r="C441" s="26"/>
      <c r="D441" s="22"/>
      <c r="E441" s="20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9" t="s">
        <v>325</v>
      </c>
      <c r="D446" s="213" t="s">
        <v>264</v>
      </c>
      <c r="E446" s="167" t="s">
        <v>51</v>
      </c>
      <c r="F446" s="168" t="s">
        <v>268</v>
      </c>
      <c r="I446" s="138" t="s">
        <v>93</v>
      </c>
      <c r="AB446">
        <v>1</v>
      </c>
    </row>
    <row r="447" spans="2:28" ht="14.25" x14ac:dyDescent="0.2">
      <c r="B447" s="190" t="s">
        <v>215</v>
      </c>
      <c r="C447" s="210">
        <v>2.1</v>
      </c>
      <c r="D447" s="192"/>
      <c r="E447" s="21"/>
      <c r="F447" s="193"/>
      <c r="I447" s="138"/>
    </row>
    <row r="448" spans="2:28" x14ac:dyDescent="0.2">
      <c r="B448" s="13" t="s">
        <v>39</v>
      </c>
      <c r="C448" s="207">
        <v>42902</v>
      </c>
      <c r="D448" s="15" t="str">
        <f>IF(OR(C451="",C452=""),"",VLOOKUP(CONCATENATE(C451," - ",C452),Exposure,2))</f>
        <v>R</v>
      </c>
      <c r="E448" s="16" t="s">
        <v>135</v>
      </c>
      <c r="F448" s="113">
        <v>4</v>
      </c>
      <c r="I448" s="138" t="s">
        <v>93</v>
      </c>
      <c r="AB448">
        <v>2</v>
      </c>
    </row>
    <row r="449" spans="2:28" x14ac:dyDescent="0.2">
      <c r="B449" s="13" t="s">
        <v>84</v>
      </c>
      <c r="C449" s="216" t="s">
        <v>269</v>
      </c>
      <c r="D449" s="15" t="s">
        <v>126</v>
      </c>
      <c r="E449" s="16" t="s">
        <v>56</v>
      </c>
      <c r="F449" s="134" t="s">
        <v>283</v>
      </c>
      <c r="I449" s="138" t="s">
        <v>93</v>
      </c>
      <c r="AB449">
        <v>3</v>
      </c>
    </row>
    <row r="450" spans="2:28" x14ac:dyDescent="0.2">
      <c r="B450" s="13" t="s">
        <v>85</v>
      </c>
      <c r="C450" s="218" t="s">
        <v>269</v>
      </c>
      <c r="D450" s="18"/>
      <c r="E450" s="16" t="s">
        <v>91</v>
      </c>
      <c r="F450" s="134" t="s">
        <v>106</v>
      </c>
      <c r="I450" s="138" t="s">
        <v>93</v>
      </c>
      <c r="AB450">
        <v>4</v>
      </c>
    </row>
    <row r="451" spans="2:28" x14ac:dyDescent="0.2">
      <c r="B451" s="13" t="s">
        <v>44</v>
      </c>
      <c r="C451" s="133" t="s">
        <v>242</v>
      </c>
      <c r="D451" s="49" t="str">
        <f>IF(C451="","WARNING - Please enter a Probability.","")</f>
        <v/>
      </c>
      <c r="E451" s="16" t="s">
        <v>60</v>
      </c>
      <c r="F451" s="134" t="s">
        <v>107</v>
      </c>
      <c r="I451" s="138" t="s">
        <v>93</v>
      </c>
      <c r="AB451">
        <v>5</v>
      </c>
    </row>
    <row r="452" spans="2:28" x14ac:dyDescent="0.2">
      <c r="B452" s="13" t="s">
        <v>50</v>
      </c>
      <c r="C452" s="133" t="s">
        <v>242</v>
      </c>
      <c r="D452" s="15" t="s">
        <v>96</v>
      </c>
      <c r="E452" s="16" t="s">
        <v>61</v>
      </c>
      <c r="F452" s="207">
        <v>42902</v>
      </c>
      <c r="I452" s="138" t="s">
        <v>93</v>
      </c>
      <c r="AB452">
        <v>6</v>
      </c>
    </row>
    <row r="453" spans="2:28" ht="25.5" x14ac:dyDescent="0.2">
      <c r="B453" s="187" t="s">
        <v>57</v>
      </c>
      <c r="C453" s="133" t="s">
        <v>243</v>
      </c>
      <c r="D453" s="15" t="s">
        <v>339</v>
      </c>
      <c r="E453" s="16" t="s">
        <v>62</v>
      </c>
      <c r="F453" s="207">
        <v>42902</v>
      </c>
      <c r="I453" s="138" t="s">
        <v>93</v>
      </c>
      <c r="AB453">
        <v>7</v>
      </c>
    </row>
    <row r="454" spans="2:28" x14ac:dyDescent="0.2">
      <c r="B454" s="13"/>
      <c r="C454" s="15"/>
      <c r="D454" s="15"/>
      <c r="E454" s="18"/>
      <c r="F454" s="19"/>
      <c r="I454" s="138" t="s">
        <v>93</v>
      </c>
      <c r="AB454">
        <v>8</v>
      </c>
    </row>
    <row r="455" spans="2:28" ht="25.5" x14ac:dyDescent="0.2">
      <c r="B455" s="20"/>
      <c r="C455" s="21" t="s">
        <v>89</v>
      </c>
      <c r="D455" s="217" t="s">
        <v>406</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173" t="s">
        <v>326</v>
      </c>
      <c r="E457" s="18"/>
      <c r="F457" s="19"/>
      <c r="I457" s="138" t="s">
        <v>93</v>
      </c>
      <c r="AB457">
        <v>11</v>
      </c>
    </row>
    <row r="458" spans="2:28" ht="6" customHeight="1" x14ac:dyDescent="0.2">
      <c r="B458" s="20"/>
      <c r="C458" s="21"/>
      <c r="D458" s="22"/>
      <c r="E458" s="18"/>
      <c r="F458" s="19"/>
      <c r="I458" s="138" t="s">
        <v>93</v>
      </c>
      <c r="AB458">
        <v>12</v>
      </c>
    </row>
    <row r="459" spans="2:28" ht="38.25" x14ac:dyDescent="0.2">
      <c r="B459" s="20"/>
      <c r="C459" s="21" t="s">
        <v>3</v>
      </c>
      <c r="D459" s="173" t="s">
        <v>327</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173" t="s">
        <v>342</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18" t="s">
        <v>269</v>
      </c>
      <c r="C466" s="26">
        <v>1</v>
      </c>
      <c r="D466" s="173" t="s">
        <v>328</v>
      </c>
      <c r="E466" s="207">
        <v>42867</v>
      </c>
      <c r="F466" s="207"/>
      <c r="I466" s="138" t="s">
        <v>93</v>
      </c>
      <c r="AB466">
        <v>20</v>
      </c>
    </row>
    <row r="467" spans="2:28" x14ac:dyDescent="0.2">
      <c r="B467" s="218"/>
      <c r="C467" s="26"/>
      <c r="D467" s="22"/>
      <c r="E467" s="207"/>
      <c r="F467" s="207"/>
      <c r="I467" s="138" t="s">
        <v>93</v>
      </c>
      <c r="AB467">
        <v>21</v>
      </c>
    </row>
    <row r="468" spans="2:28" x14ac:dyDescent="0.2">
      <c r="B468" s="218"/>
      <c r="C468" s="26"/>
      <c r="D468" s="22"/>
      <c r="E468" s="207"/>
      <c r="F468" s="207"/>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9" t="s">
        <v>248</v>
      </c>
      <c r="D472" s="213" t="s">
        <v>265</v>
      </c>
      <c r="E472" s="167" t="s">
        <v>51</v>
      </c>
      <c r="F472" s="168" t="s">
        <v>268</v>
      </c>
      <c r="I472" s="138" t="s">
        <v>93</v>
      </c>
      <c r="AB472">
        <v>1</v>
      </c>
    </row>
    <row r="473" spans="2:28" ht="15" x14ac:dyDescent="0.2">
      <c r="B473" s="190" t="s">
        <v>215</v>
      </c>
      <c r="C473" s="228">
        <v>1.3</v>
      </c>
      <c r="D473" s="192"/>
      <c r="E473" s="21"/>
      <c r="F473" s="193"/>
      <c r="I473" s="138"/>
    </row>
    <row r="474" spans="2:28" x14ac:dyDescent="0.2">
      <c r="B474" s="13" t="s">
        <v>39</v>
      </c>
      <c r="C474" s="207">
        <v>42902</v>
      </c>
      <c r="D474" s="15" t="str">
        <f>IF(OR(C477="",C478=""),"",VLOOKUP(CONCATENATE(C477," - ",C478),Exposure,2))</f>
        <v>R</v>
      </c>
      <c r="E474" s="16" t="s">
        <v>135</v>
      </c>
      <c r="F474" s="113">
        <v>5</v>
      </c>
      <c r="I474" s="138" t="s">
        <v>93</v>
      </c>
      <c r="AB474">
        <v>2</v>
      </c>
    </row>
    <row r="475" spans="2:28" x14ac:dyDescent="0.2">
      <c r="B475" s="13" t="s">
        <v>84</v>
      </c>
      <c r="C475" s="216" t="s">
        <v>269</v>
      </c>
      <c r="D475" s="15" t="s">
        <v>126</v>
      </c>
      <c r="E475" s="16" t="s">
        <v>56</v>
      </c>
      <c r="F475" s="134" t="s">
        <v>283</v>
      </c>
      <c r="I475" s="138" t="s">
        <v>93</v>
      </c>
      <c r="AB475">
        <v>3</v>
      </c>
    </row>
    <row r="476" spans="2:28" x14ac:dyDescent="0.2">
      <c r="B476" s="13" t="s">
        <v>85</v>
      </c>
      <c r="C476" s="218" t="s">
        <v>269</v>
      </c>
      <c r="D476" s="18"/>
      <c r="E476" s="16" t="s">
        <v>91</v>
      </c>
      <c r="F476" s="134" t="s">
        <v>106</v>
      </c>
      <c r="I476" s="138" t="s">
        <v>93</v>
      </c>
      <c r="AB476">
        <v>4</v>
      </c>
    </row>
    <row r="477" spans="2:28" x14ac:dyDescent="0.2">
      <c r="B477" s="13" t="s">
        <v>44</v>
      </c>
      <c r="C477" s="133" t="s">
        <v>242</v>
      </c>
      <c r="D477" s="49" t="str">
        <f>IF(C477="","WARNING - Please enter a Probability.","")</f>
        <v/>
      </c>
      <c r="E477" s="16" t="s">
        <v>60</v>
      </c>
      <c r="F477" s="134" t="s">
        <v>107</v>
      </c>
      <c r="I477" s="138" t="s">
        <v>93</v>
      </c>
      <c r="AB477">
        <v>5</v>
      </c>
    </row>
    <row r="478" spans="2:28" x14ac:dyDescent="0.2">
      <c r="B478" s="13" t="s">
        <v>50</v>
      </c>
      <c r="C478" s="133" t="s">
        <v>242</v>
      </c>
      <c r="D478" s="15" t="s">
        <v>96</v>
      </c>
      <c r="E478" s="16" t="s">
        <v>61</v>
      </c>
      <c r="F478" s="207">
        <v>42902</v>
      </c>
      <c r="I478" s="138" t="s">
        <v>93</v>
      </c>
      <c r="AB478">
        <v>6</v>
      </c>
    </row>
    <row r="479" spans="2:28" ht="25.5" x14ac:dyDescent="0.2">
      <c r="B479" s="187" t="s">
        <v>57</v>
      </c>
      <c r="C479" s="133" t="s">
        <v>243</v>
      </c>
      <c r="D479" s="15" t="s">
        <v>339</v>
      </c>
      <c r="E479" s="16" t="s">
        <v>62</v>
      </c>
      <c r="F479" s="207">
        <v>42902</v>
      </c>
      <c r="I479" s="138" t="s">
        <v>93</v>
      </c>
      <c r="AB479">
        <v>7</v>
      </c>
    </row>
    <row r="480" spans="2:28" x14ac:dyDescent="0.2">
      <c r="B480" s="13"/>
      <c r="C480" s="15"/>
      <c r="D480" s="15"/>
      <c r="E480" s="18"/>
      <c r="F480" s="19"/>
      <c r="I480" s="138" t="s">
        <v>93</v>
      </c>
      <c r="AB480">
        <v>8</v>
      </c>
    </row>
    <row r="481" spans="2:28" x14ac:dyDescent="0.2">
      <c r="B481" s="20"/>
      <c r="C481" s="21" t="s">
        <v>89</v>
      </c>
      <c r="D481" s="217" t="s">
        <v>408</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173" t="s">
        <v>329</v>
      </c>
      <c r="E483" s="18"/>
      <c r="F483" s="19"/>
      <c r="I483" s="138" t="s">
        <v>93</v>
      </c>
      <c r="AB483">
        <v>11</v>
      </c>
    </row>
    <row r="484" spans="2:28" ht="6" customHeight="1" x14ac:dyDescent="0.2">
      <c r="B484" s="20"/>
      <c r="C484" s="21"/>
      <c r="D484" s="22"/>
      <c r="E484" s="18"/>
      <c r="F484" s="19"/>
      <c r="I484" s="138" t="s">
        <v>93</v>
      </c>
      <c r="AB484">
        <v>12</v>
      </c>
    </row>
    <row r="485" spans="2:28" ht="38.25" x14ac:dyDescent="0.2">
      <c r="B485" s="20"/>
      <c r="C485" s="21" t="s">
        <v>3</v>
      </c>
      <c r="D485" s="173" t="s">
        <v>330</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173" t="s">
        <v>342</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18" t="s">
        <v>269</v>
      </c>
      <c r="C492" s="26">
        <v>1</v>
      </c>
      <c r="D492" s="173" t="s">
        <v>328</v>
      </c>
      <c r="E492" s="207">
        <v>42865</v>
      </c>
      <c r="F492" s="207"/>
      <c r="I492" s="138" t="s">
        <v>93</v>
      </c>
      <c r="AB492">
        <v>20</v>
      </c>
    </row>
    <row r="493" spans="2:28" ht="25.5" x14ac:dyDescent="0.2">
      <c r="B493" s="218" t="s">
        <v>269</v>
      </c>
      <c r="C493" s="26">
        <v>2</v>
      </c>
      <c r="D493" s="173" t="s">
        <v>331</v>
      </c>
      <c r="E493" s="207">
        <v>42865</v>
      </c>
      <c r="F493" s="207"/>
      <c r="I493" s="138" t="s">
        <v>93</v>
      </c>
      <c r="AB493">
        <v>21</v>
      </c>
    </row>
    <row r="494" spans="2:28" x14ac:dyDescent="0.2">
      <c r="B494" s="218" t="s">
        <v>269</v>
      </c>
      <c r="C494" s="26">
        <v>3</v>
      </c>
      <c r="D494" s="173" t="s">
        <v>332</v>
      </c>
      <c r="E494" s="207">
        <v>42865</v>
      </c>
      <c r="F494" s="207"/>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19" t="s">
        <v>333</v>
      </c>
      <c r="D498" s="215" t="s">
        <v>266</v>
      </c>
      <c r="E498" s="167" t="s">
        <v>51</v>
      </c>
      <c r="F498" s="168" t="s">
        <v>272</v>
      </c>
      <c r="I498" s="138" t="s">
        <v>93</v>
      </c>
      <c r="AB498">
        <v>1</v>
      </c>
    </row>
    <row r="499" spans="2:28" ht="14.25" x14ac:dyDescent="0.2">
      <c r="B499" s="190" t="s">
        <v>215</v>
      </c>
      <c r="C499" s="210">
        <v>2.1</v>
      </c>
      <c r="D499" s="192"/>
      <c r="E499" s="21"/>
      <c r="F499" s="193"/>
      <c r="I499" s="138"/>
    </row>
    <row r="500" spans="2:28" x14ac:dyDescent="0.2">
      <c r="B500" s="13" t="s">
        <v>39</v>
      </c>
      <c r="C500" s="207">
        <v>42902</v>
      </c>
      <c r="D500" s="15" t="str">
        <f>IF(OR(C503="",C504=""),"",VLOOKUP(CONCATENATE(C503," - ",C504),Exposure,2))</f>
        <v>G</v>
      </c>
      <c r="E500" s="16" t="s">
        <v>135</v>
      </c>
      <c r="F500" s="113">
        <v>1</v>
      </c>
      <c r="I500" s="138" t="s">
        <v>93</v>
      </c>
      <c r="AB500">
        <v>2</v>
      </c>
    </row>
    <row r="501" spans="2:28" x14ac:dyDescent="0.2">
      <c r="B501" s="13" t="s">
        <v>84</v>
      </c>
      <c r="C501" s="216" t="s">
        <v>269</v>
      </c>
      <c r="D501" s="15" t="s">
        <v>126</v>
      </c>
      <c r="E501" s="16" t="s">
        <v>56</v>
      </c>
      <c r="F501" s="134" t="s">
        <v>245</v>
      </c>
      <c r="I501" s="138" t="s">
        <v>93</v>
      </c>
      <c r="AB501">
        <v>3</v>
      </c>
    </row>
    <row r="502" spans="2:28" x14ac:dyDescent="0.2">
      <c r="B502" s="13" t="s">
        <v>85</v>
      </c>
      <c r="C502" s="218" t="s">
        <v>269</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249</v>
      </c>
      <c r="D504" s="15" t="s">
        <v>96</v>
      </c>
      <c r="E504" s="16" t="s">
        <v>61</v>
      </c>
      <c r="F504" s="207">
        <v>42902</v>
      </c>
      <c r="I504" s="138" t="s">
        <v>93</v>
      </c>
      <c r="AB504">
        <v>6</v>
      </c>
    </row>
    <row r="505" spans="2:28" ht="25.5" x14ac:dyDescent="0.2">
      <c r="B505" s="187" t="s">
        <v>57</v>
      </c>
      <c r="C505" s="133" t="s">
        <v>243</v>
      </c>
      <c r="D505" s="15" t="s">
        <v>339</v>
      </c>
      <c r="E505" s="16" t="s">
        <v>62</v>
      </c>
      <c r="F505" s="207">
        <v>42902</v>
      </c>
      <c r="I505" s="138" t="s">
        <v>93</v>
      </c>
      <c r="AB505">
        <v>7</v>
      </c>
    </row>
    <row r="506" spans="2:28" x14ac:dyDescent="0.2">
      <c r="B506" s="13"/>
      <c r="C506" s="15"/>
      <c r="D506" s="15"/>
      <c r="E506" s="18"/>
      <c r="F506" s="19"/>
      <c r="I506" s="138" t="s">
        <v>93</v>
      </c>
      <c r="AB506">
        <v>8</v>
      </c>
    </row>
    <row r="507" spans="2:28" ht="25.5" x14ac:dyDescent="0.2">
      <c r="B507" s="20"/>
      <c r="C507" s="21" t="s">
        <v>89</v>
      </c>
      <c r="D507" s="225" t="s">
        <v>409</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173" t="s">
        <v>334</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173" t="s">
        <v>335</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173" t="s">
        <v>342</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22" t="s">
        <v>269</v>
      </c>
      <c r="C518" s="26">
        <v>1</v>
      </c>
      <c r="D518" s="173" t="s">
        <v>410</v>
      </c>
      <c r="E518" s="207">
        <v>42867</v>
      </c>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219" t="s">
        <v>273</v>
      </c>
      <c r="D524" s="212" t="s">
        <v>267</v>
      </c>
      <c r="E524" s="167" t="s">
        <v>51</v>
      </c>
      <c r="F524" s="168" t="s">
        <v>272</v>
      </c>
      <c r="I524" s="138" t="s">
        <v>93</v>
      </c>
      <c r="AB524">
        <v>1</v>
      </c>
    </row>
    <row r="525" spans="2:28" ht="15" x14ac:dyDescent="0.2">
      <c r="B525" s="190" t="s">
        <v>215</v>
      </c>
      <c r="C525" s="228">
        <v>1.4</v>
      </c>
      <c r="D525" s="192"/>
      <c r="E525" s="21"/>
      <c r="F525" s="193"/>
      <c r="I525" s="138"/>
    </row>
    <row r="526" spans="2:28" x14ac:dyDescent="0.2">
      <c r="B526" s="13" t="s">
        <v>39</v>
      </c>
      <c r="C526" s="207">
        <v>42902</v>
      </c>
      <c r="D526" s="15" t="str">
        <f>IF(OR(C529="",C530=""),"",VLOOKUP(CONCATENATE(C529," - ",C530),Exposure,2))</f>
        <v>G</v>
      </c>
      <c r="E526" s="16" t="s">
        <v>135</v>
      </c>
      <c r="F526" s="113">
        <v>2</v>
      </c>
      <c r="I526" s="138" t="s">
        <v>93</v>
      </c>
      <c r="AB526">
        <v>2</v>
      </c>
    </row>
    <row r="527" spans="2:28" x14ac:dyDescent="0.2">
      <c r="B527" s="13" t="s">
        <v>84</v>
      </c>
      <c r="C527" s="216" t="s">
        <v>269</v>
      </c>
      <c r="D527" s="15" t="s">
        <v>126</v>
      </c>
      <c r="E527" s="16" t="s">
        <v>56</v>
      </c>
      <c r="F527" s="134" t="s">
        <v>292</v>
      </c>
      <c r="I527" s="138" t="s">
        <v>93</v>
      </c>
      <c r="AB527">
        <v>3</v>
      </c>
    </row>
    <row r="528" spans="2:28" x14ac:dyDescent="0.2">
      <c r="B528" s="13" t="s">
        <v>85</v>
      </c>
      <c r="C528" s="218" t="s">
        <v>269</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230" t="s">
        <v>249</v>
      </c>
      <c r="D530" s="15" t="s">
        <v>96</v>
      </c>
      <c r="E530" s="16" t="s">
        <v>61</v>
      </c>
      <c r="F530" s="207">
        <v>42902</v>
      </c>
      <c r="I530" s="138" t="s">
        <v>93</v>
      </c>
      <c r="AB530">
        <v>6</v>
      </c>
    </row>
    <row r="531" spans="2:28" ht="25.5" x14ac:dyDescent="0.2">
      <c r="B531" s="187" t="s">
        <v>57</v>
      </c>
      <c r="C531" s="133" t="s">
        <v>243</v>
      </c>
      <c r="D531" s="15" t="s">
        <v>99</v>
      </c>
      <c r="E531" s="16" t="s">
        <v>62</v>
      </c>
      <c r="F531" s="207">
        <v>42902</v>
      </c>
      <c r="I531" s="138" t="s">
        <v>93</v>
      </c>
      <c r="AB531">
        <v>7</v>
      </c>
    </row>
    <row r="532" spans="2:28" x14ac:dyDescent="0.2">
      <c r="B532" s="13"/>
      <c r="C532" s="15"/>
      <c r="D532" s="15"/>
      <c r="E532" s="18"/>
      <c r="F532" s="19"/>
      <c r="I532" s="138" t="s">
        <v>93</v>
      </c>
      <c r="AB532">
        <v>8</v>
      </c>
    </row>
    <row r="533" spans="2:28" ht="25.5" x14ac:dyDescent="0.2">
      <c r="B533" s="20"/>
      <c r="C533" s="21" t="s">
        <v>89</v>
      </c>
      <c r="D533" s="224" t="s">
        <v>411</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173" t="s">
        <v>336</v>
      </c>
      <c r="E535" s="18"/>
      <c r="F535" s="19"/>
      <c r="I535" s="138" t="s">
        <v>93</v>
      </c>
      <c r="AB535">
        <v>11</v>
      </c>
    </row>
    <row r="536" spans="2:28" ht="6" customHeight="1" x14ac:dyDescent="0.2">
      <c r="B536" s="20"/>
      <c r="C536" s="21"/>
      <c r="D536" s="22"/>
      <c r="E536" s="18"/>
      <c r="F536" s="19"/>
      <c r="I536" s="138" t="s">
        <v>93</v>
      </c>
      <c r="AB536">
        <v>12</v>
      </c>
    </row>
    <row r="537" spans="2:28" ht="38.25" x14ac:dyDescent="0.2">
      <c r="B537" s="20"/>
      <c r="C537" s="21" t="s">
        <v>3</v>
      </c>
      <c r="D537" s="173" t="s">
        <v>412</v>
      </c>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173" t="s">
        <v>342</v>
      </c>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ht="25.5" x14ac:dyDescent="0.2">
      <c r="B544" s="222" t="s">
        <v>269</v>
      </c>
      <c r="C544" s="26">
        <v>1</v>
      </c>
      <c r="D544" s="173" t="s">
        <v>413</v>
      </c>
      <c r="E544" s="207">
        <v>42866</v>
      </c>
      <c r="F544" s="28"/>
      <c r="I544" s="138" t="s">
        <v>93</v>
      </c>
      <c r="AB544">
        <v>20</v>
      </c>
    </row>
    <row r="545" spans="2:28" x14ac:dyDescent="0.2">
      <c r="B545" s="25"/>
      <c r="C545" s="26"/>
      <c r="D545" s="22"/>
      <c r="E545" s="27"/>
      <c r="F545" s="28"/>
      <c r="I545" s="138" t="s">
        <v>93</v>
      </c>
      <c r="AB545">
        <v>21</v>
      </c>
    </row>
    <row r="546" spans="2:28" x14ac:dyDescent="0.2">
      <c r="B546" s="25"/>
      <c r="C546" s="26"/>
      <c r="D546" s="22"/>
      <c r="E546" s="27"/>
      <c r="F546" s="28"/>
      <c r="I546" s="138" t="s">
        <v>93</v>
      </c>
      <c r="AB546">
        <v>22</v>
      </c>
    </row>
    <row r="547" spans="2:28" x14ac:dyDescent="0.2">
      <c r="B547" s="25"/>
      <c r="C547" s="26"/>
      <c r="D547" s="22"/>
      <c r="E547" s="27"/>
      <c r="F547" s="28"/>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219" t="s">
        <v>407</v>
      </c>
      <c r="D550" s="166" t="s">
        <v>338</v>
      </c>
      <c r="E550" s="167" t="s">
        <v>51</v>
      </c>
      <c r="F550" s="168" t="s">
        <v>272</v>
      </c>
      <c r="I550" s="138" t="s">
        <v>93</v>
      </c>
      <c r="AB550">
        <v>1</v>
      </c>
    </row>
    <row r="551" spans="2:28" ht="15" x14ac:dyDescent="0.2">
      <c r="B551" s="190" t="s">
        <v>215</v>
      </c>
      <c r="C551" s="228">
        <v>2.2999999999999998</v>
      </c>
      <c r="D551" s="192"/>
      <c r="E551" s="21"/>
      <c r="F551" s="193"/>
      <c r="I551" s="138"/>
    </row>
    <row r="552" spans="2:28" x14ac:dyDescent="0.2">
      <c r="B552" s="13" t="s">
        <v>39</v>
      </c>
      <c r="C552" s="207">
        <v>42901</v>
      </c>
      <c r="D552" s="15" t="str">
        <f>IF(OR(C555="",C556=""),"",VLOOKUP(CONCATENATE(C555," - ",C556),Exposure,2))</f>
        <v>R</v>
      </c>
      <c r="E552" s="16" t="s">
        <v>135</v>
      </c>
      <c r="F552" s="113">
        <v>3</v>
      </c>
      <c r="I552" s="138" t="s">
        <v>93</v>
      </c>
      <c r="AB552">
        <v>2</v>
      </c>
    </row>
    <row r="553" spans="2:28" x14ac:dyDescent="0.2">
      <c r="B553" s="13" t="s">
        <v>84</v>
      </c>
      <c r="C553" s="216" t="s">
        <v>269</v>
      </c>
      <c r="D553" s="15" t="s">
        <v>126</v>
      </c>
      <c r="E553" s="16" t="s">
        <v>56</v>
      </c>
      <c r="F553" s="134" t="s">
        <v>283</v>
      </c>
      <c r="I553" s="138" t="s">
        <v>93</v>
      </c>
      <c r="AB553">
        <v>3</v>
      </c>
    </row>
    <row r="554" spans="2:28" x14ac:dyDescent="0.2">
      <c r="B554" s="13" t="s">
        <v>85</v>
      </c>
      <c r="C554" s="218" t="s">
        <v>269</v>
      </c>
      <c r="D554" s="18"/>
      <c r="E554" s="16" t="s">
        <v>91</v>
      </c>
      <c r="F554" s="134" t="s">
        <v>106</v>
      </c>
      <c r="I554" s="138" t="s">
        <v>93</v>
      </c>
      <c r="AB554">
        <v>4</v>
      </c>
    </row>
    <row r="555" spans="2:28" x14ac:dyDescent="0.2">
      <c r="B555" s="13" t="s">
        <v>44</v>
      </c>
      <c r="C555" s="133" t="s">
        <v>242</v>
      </c>
      <c r="D555" s="49" t="str">
        <f>IF(C555="","WARNING - Please enter a Probability.","")</f>
        <v/>
      </c>
      <c r="E555" s="16" t="s">
        <v>60</v>
      </c>
      <c r="F555" s="134" t="s">
        <v>107</v>
      </c>
      <c r="I555" s="138" t="s">
        <v>93</v>
      </c>
      <c r="AB555">
        <v>5</v>
      </c>
    </row>
    <row r="556" spans="2:28" x14ac:dyDescent="0.2">
      <c r="B556" s="13" t="s">
        <v>50</v>
      </c>
      <c r="C556" s="133" t="s">
        <v>242</v>
      </c>
      <c r="D556" s="15" t="s">
        <v>96</v>
      </c>
      <c r="E556" s="16" t="s">
        <v>61</v>
      </c>
      <c r="F556" s="207">
        <v>42901</v>
      </c>
      <c r="I556" s="138" t="s">
        <v>93</v>
      </c>
      <c r="AB556">
        <v>6</v>
      </c>
    </row>
    <row r="557" spans="2:28" ht="25.5" x14ac:dyDescent="0.2">
      <c r="B557" s="187" t="s">
        <v>57</v>
      </c>
      <c r="C557" s="133" t="s">
        <v>243</v>
      </c>
      <c r="D557" s="15" t="s">
        <v>339</v>
      </c>
      <c r="E557" s="16" t="s">
        <v>62</v>
      </c>
      <c r="F557" s="207">
        <v>42902</v>
      </c>
      <c r="I557" s="138" t="s">
        <v>93</v>
      </c>
      <c r="AB557">
        <v>7</v>
      </c>
    </row>
    <row r="558" spans="2:28" x14ac:dyDescent="0.2">
      <c r="B558" s="13"/>
      <c r="C558" s="15"/>
      <c r="D558" s="15"/>
      <c r="E558" s="18"/>
      <c r="F558" s="19"/>
      <c r="I558" s="138" t="s">
        <v>93</v>
      </c>
      <c r="AB558">
        <v>8</v>
      </c>
    </row>
    <row r="559" spans="2:28" ht="51" x14ac:dyDescent="0.2">
      <c r="B559" s="20"/>
      <c r="C559" s="21" t="s">
        <v>89</v>
      </c>
      <c r="D559" s="217" t="s">
        <v>340</v>
      </c>
      <c r="E559" s="18"/>
      <c r="F559" s="19"/>
      <c r="I559" s="138" t="s">
        <v>93</v>
      </c>
      <c r="AB559">
        <v>9</v>
      </c>
    </row>
    <row r="560" spans="2:28" ht="6" customHeight="1" x14ac:dyDescent="0.2">
      <c r="B560" s="20"/>
      <c r="C560" s="21"/>
      <c r="D560" s="22"/>
      <c r="E560" s="18"/>
      <c r="F560" s="19"/>
      <c r="I560" s="138" t="s">
        <v>93</v>
      </c>
      <c r="AB560">
        <v>10</v>
      </c>
    </row>
    <row r="561" spans="2:28" ht="38.25" x14ac:dyDescent="0.2">
      <c r="B561" s="20"/>
      <c r="C561" s="21" t="s">
        <v>90</v>
      </c>
      <c r="D561" s="22" t="s">
        <v>345</v>
      </c>
      <c r="E561" s="18"/>
      <c r="F561" s="19"/>
      <c r="I561" s="138" t="s">
        <v>93</v>
      </c>
      <c r="AB561">
        <v>11</v>
      </c>
    </row>
    <row r="562" spans="2:28" ht="6" customHeight="1" x14ac:dyDescent="0.2">
      <c r="B562" s="20"/>
      <c r="C562" s="21"/>
      <c r="D562" s="22"/>
      <c r="E562" s="18"/>
      <c r="F562" s="19"/>
      <c r="I562" s="138" t="s">
        <v>93</v>
      </c>
      <c r="AB562">
        <v>12</v>
      </c>
    </row>
    <row r="563" spans="2:28" ht="38.25" x14ac:dyDescent="0.2">
      <c r="B563" s="20"/>
      <c r="C563" s="21" t="s">
        <v>3</v>
      </c>
      <c r="D563" s="22" t="s">
        <v>341</v>
      </c>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173" t="s">
        <v>342</v>
      </c>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269</v>
      </c>
      <c r="C570" s="26">
        <v>1</v>
      </c>
      <c r="D570" s="22" t="s">
        <v>349</v>
      </c>
      <c r="E570" s="27">
        <v>42867</v>
      </c>
      <c r="F570" s="207"/>
      <c r="I570" s="138" t="s">
        <v>93</v>
      </c>
      <c r="AB570">
        <v>20</v>
      </c>
    </row>
    <row r="571" spans="2:28" x14ac:dyDescent="0.2">
      <c r="B571" s="25" t="s">
        <v>269</v>
      </c>
      <c r="C571" s="26">
        <v>2</v>
      </c>
      <c r="D571" s="22" t="s">
        <v>343</v>
      </c>
      <c r="E571" s="231">
        <v>42909</v>
      </c>
      <c r="F571" s="207"/>
      <c r="I571" s="138" t="s">
        <v>93</v>
      </c>
      <c r="AB571">
        <v>21</v>
      </c>
    </row>
    <row r="572" spans="2:28" x14ac:dyDescent="0.2">
      <c r="B572" s="25"/>
      <c r="C572" s="26"/>
      <c r="D572" s="22"/>
      <c r="E572" s="27"/>
      <c r="F572" s="28"/>
      <c r="I572" s="138" t="s">
        <v>93</v>
      </c>
      <c r="AB572">
        <v>22</v>
      </c>
    </row>
    <row r="573" spans="2:28" x14ac:dyDescent="0.2">
      <c r="B573" s="25"/>
      <c r="C573" s="26"/>
      <c r="D573" s="22"/>
      <c r="E573" s="27"/>
      <c r="F573" s="28"/>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713 D10 D89 D635 D687 D37 D141 D739 D167 D115 D245 D193 D271 D219 D349 D297 D375 D323 D453 D401 D479 D427 D557 D505 D583 D531 D661 D609 D63 D765">
    <cfRule type="cellIs" dxfId="15" priority="4" stopIfTrue="1" operator="equal">
      <formula>"Worsening"</formula>
    </cfRule>
    <cfRule type="cellIs" dxfId="14" priority="5" stopIfTrue="1" operator="equal">
      <formula>"Improving"</formula>
    </cfRule>
  </conditionalFormatting>
  <conditionalFormatting sqref="F738 F712 F582 F608 F634 F660 F686 F764">
    <cfRule type="cellIs" dxfId="13" priority="6" stopIfTrue="1" operator="lessThan">
      <formula>C578</formula>
    </cfRule>
  </conditionalFormatting>
  <conditionalFormatting sqref="F583 F609 F635 F661 F687 F713 F739 F765">
    <cfRule type="cellIs" dxfId="12" priority="8" stopIfTrue="1" operator="lessThan">
      <formula>C578</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763:C764 C87:C88 C737:C738 C61:C62 C113:C114 C139:C140 C165:C166 C191:C192 C217:C218 C243:C244 C269:C270 C295:C296 C321:C322 C347:C348 C373:C374 C399:C400 C425:C426 C451:C452 C477:C478 C503:C504 C529:C530 C555:C556 C581:C582 C607:C608 C633:C634 C659:C660 C685:C686 C711:C712 C35:C36">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D33" sqref="D33"/>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Vinos Y Licores Gus.</v>
      </c>
      <c r="D1" s="153"/>
      <c r="E1" s="152"/>
      <c r="F1" s="152"/>
      <c r="G1" s="152"/>
      <c r="H1" s="152"/>
      <c r="I1" s="154" t="s">
        <v>217</v>
      </c>
      <c r="J1" s="155" t="str">
        <f>'Detalle del Riesgo'!F2</f>
        <v>06/17/17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6</v>
      </c>
      <c r="I6" s="123">
        <f>Exposure!E5</f>
        <v>0</v>
      </c>
      <c r="J6" s="91">
        <f>Exposure!F5</f>
        <v>6</v>
      </c>
    </row>
    <row r="7" spans="1:10" x14ac:dyDescent="0.2">
      <c r="A7" s="84"/>
      <c r="B7" s="92" t="s">
        <v>122</v>
      </c>
      <c r="C7" s="93"/>
      <c r="D7" s="147"/>
      <c r="E7" s="84"/>
      <c r="F7" s="120" t="s">
        <v>19</v>
      </c>
      <c r="G7" s="124">
        <f>Exposure!C7</f>
        <v>0</v>
      </c>
      <c r="H7" s="124">
        <f>Exposure!D7</f>
        <v>14</v>
      </c>
      <c r="I7" s="124">
        <f>Exposure!E7</f>
        <v>0</v>
      </c>
      <c r="J7" s="94">
        <f>Exposure!F7</f>
        <v>14</v>
      </c>
    </row>
    <row r="8" spans="1:10" ht="13.5" thickBot="1" x14ac:dyDescent="0.25">
      <c r="A8" s="84"/>
      <c r="B8" s="92" t="s">
        <v>123</v>
      </c>
      <c r="C8" s="93"/>
      <c r="D8" s="147"/>
      <c r="E8" s="84"/>
      <c r="F8" s="120" t="s">
        <v>20</v>
      </c>
      <c r="G8" s="125">
        <f>Exposure!C9</f>
        <v>1</v>
      </c>
      <c r="H8" s="125">
        <f>Exposure!D9</f>
        <v>2</v>
      </c>
      <c r="I8" s="125">
        <f>Exposure!E9</f>
        <v>0</v>
      </c>
      <c r="J8" s="95">
        <f>Exposure!F9</f>
        <v>2</v>
      </c>
    </row>
    <row r="9" spans="1:10" ht="13.5" thickBot="1" x14ac:dyDescent="0.25">
      <c r="A9" s="84"/>
      <c r="B9" s="96" t="s">
        <v>124</v>
      </c>
      <c r="C9" s="97"/>
      <c r="D9" s="147"/>
      <c r="E9" s="84"/>
      <c r="F9" s="121" t="s">
        <v>120</v>
      </c>
      <c r="G9" s="125">
        <f>SUM(G6:G8)</f>
        <v>1</v>
      </c>
      <c r="H9" s="125">
        <f>SUM(H6:H8)</f>
        <v>22</v>
      </c>
      <c r="I9" s="125">
        <f>SUM(I6:I8)</f>
        <v>0</v>
      </c>
      <c r="J9" s="95">
        <f>SUM(J6:J8)</f>
        <v>22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RG_001</v>
      </c>
      <c r="B12" s="158">
        <f>IF($A12="","",'Detalle del Riesgo'!F5)</f>
        <v>2</v>
      </c>
      <c r="C12" s="159" t="str">
        <f>IF($A12="","",LEFT('Detalle del Riesgo'!D10,1))</f>
        <v>S</v>
      </c>
      <c r="D12" s="160" t="str">
        <f>IF($A12="","",'Detalle del Riesgo'!D3)</f>
        <v>Las instalaciones no estan disponibles a tiempo.</v>
      </c>
      <c r="E12" s="161" t="str">
        <f>IF($A12="","",'Detalle del Riesgo'!C7)</f>
        <v>YSCG</v>
      </c>
      <c r="F12" s="159" t="str">
        <f>IF(OR($A12="",$H12="Retirar"),"",'Detalle del Riesgo'!D5)</f>
        <v>Y</v>
      </c>
      <c r="G12" s="159" t="str">
        <f>IF($A12="","",'Detalle del Riesgo'!C10)</f>
        <v>&lt;1 mes</v>
      </c>
      <c r="H12" s="159" t="str">
        <f>IF($A12= "","",'Detalle del Riesgo'!F3)</f>
        <v>Prevenir</v>
      </c>
      <c r="I12" s="162">
        <f>IF($A12= "","",'Detalle del Riesgo'!C5)</f>
        <v>42902</v>
      </c>
      <c r="J12" s="163">
        <f>IF($A12= "","",'Detalle del Riesgo'!F9)</f>
        <v>42902</v>
      </c>
    </row>
    <row r="13" spans="1:10" x14ac:dyDescent="0.2">
      <c r="A13" s="157" t="str">
        <f>IF(LEFT('Detalle del Riesgo'!D30)="&lt;","",'Detalle del Riesgo'!C30)</f>
        <v>RG_002</v>
      </c>
      <c r="B13" s="158">
        <f>IF($A13="","",'Detalle del Riesgo'!F32)</f>
        <v>1</v>
      </c>
      <c r="C13" s="159" t="str">
        <f>IF($A13="","",LEFT('Detalle del Riesgo'!D37,1))</f>
        <v>S</v>
      </c>
      <c r="D13" s="160" t="str">
        <f>IF($A13="","",'Detalle del Riesgo'!D30)</f>
        <v>No se cuenta con el mobiliario adecuado.</v>
      </c>
      <c r="E13" s="161" t="str">
        <f>IF($A13="","",'Detalle del Riesgo'!C34)</f>
        <v>YSCG</v>
      </c>
      <c r="F13" s="159" t="str">
        <f>IF(OR($A13="",$H13="Retired"),"",'Detalle del Riesgo'!D32)</f>
        <v>Y</v>
      </c>
      <c r="G13" s="159" t="str">
        <f>IF($A13="","",'Detalle del Riesgo'!C37)</f>
        <v>&lt;1 mes</v>
      </c>
      <c r="H13" s="159" t="str">
        <f>IF($A13= "","",'Detalle del Riesgo'!F30)</f>
        <v>Prevenir</v>
      </c>
      <c r="I13" s="162">
        <f>IF($A13= "","",'Detalle del Riesgo'!C32)</f>
        <v>42902</v>
      </c>
      <c r="J13" s="163">
        <f>IF($A13= "","",'Detalle del Riesgo'!F36)</f>
        <v>42902</v>
      </c>
    </row>
    <row r="14" spans="1:10" x14ac:dyDescent="0.2">
      <c r="A14" s="157" t="str">
        <f>IF(LEFT('Detalle del Riesgo'!D56)="&lt;","",'Detalle del Riesgo'!C56)</f>
        <v>RG_003</v>
      </c>
      <c r="B14" s="158">
        <f>IF($A14="","",'Detalle del Riesgo'!F58)</f>
        <v>6</v>
      </c>
      <c r="C14" s="159" t="str">
        <f>IF($A14="","",LEFT('Detalle del Riesgo'!D63,1))</f>
        <v>S</v>
      </c>
      <c r="D14" s="160" t="str">
        <f>IF($A14="","",'Detalle del Riesgo'!D56)</f>
        <v>Conflictos entre miembros del equipo.</v>
      </c>
      <c r="E14" s="161" t="str">
        <f>IF($A14="","",'Detalle del Riesgo'!C60)</f>
        <v>YSCG</v>
      </c>
      <c r="F14" s="159" t="str">
        <f>IF(OR($A14="",$H14="Retired"),"",'Detalle del Riesgo'!D58)</f>
        <v>Y</v>
      </c>
      <c r="G14" s="159" t="str">
        <f>IF($A14="","",'Detalle del Riesgo'!C63)</f>
        <v>&lt;1 mes</v>
      </c>
      <c r="H14" s="159" t="str">
        <f>IF($A14= "","",'Detalle del Riesgo'!F56)</f>
        <v>Prevenir</v>
      </c>
      <c r="I14" s="162">
        <f>IF($A14= "","",'Detalle del Riesgo'!C58)</f>
        <v>42902</v>
      </c>
      <c r="J14" s="163">
        <f>IF($A14= "","",'Detalle del Riesgo'!F62)</f>
        <v>42902</v>
      </c>
    </row>
    <row r="15" spans="1:10" x14ac:dyDescent="0.2">
      <c r="A15" s="157" t="str">
        <f>IF(LEFT('Detalle del Riesgo'!D82)="&lt;","",'Detalle del Riesgo'!C82)</f>
        <v>RG_004</v>
      </c>
      <c r="B15" s="158">
        <f>IF($A15="","",'Detalle del Riesgo'!F84)</f>
        <v>3</v>
      </c>
      <c r="C15" s="159" t="str">
        <f>IF($A15="","",LEFT('Detalle del Riesgo'!D89,1))</f>
        <v>S</v>
      </c>
      <c r="D15" s="160" t="str">
        <f>IF($A15="","",'Detalle del Riesgo'!D82)</f>
        <v>El proceso de selección de personal tarda más de lo planeado.</v>
      </c>
      <c r="E15" s="161" t="str">
        <f>IF($A15="","",'Detalle del Riesgo'!C86)</f>
        <v>YSCG</v>
      </c>
      <c r="F15" s="159" t="str">
        <f>IF(OR($A15="",$H15="Retired"),"",'Detalle del Riesgo'!D84)</f>
        <v>Y</v>
      </c>
      <c r="G15" s="159" t="str">
        <f>IF($A15="","",'Detalle del Riesgo'!C89)</f>
        <v>&lt;1 mes</v>
      </c>
      <c r="H15" s="159" t="str">
        <f>IF($A15= "","",'Detalle del Riesgo'!F82)</f>
        <v>Prevenir</v>
      </c>
      <c r="I15" s="162">
        <f>IF($A15= "","",'Detalle del Riesgo'!C84)</f>
        <v>42902</v>
      </c>
      <c r="J15" s="163">
        <f>IF($A15= "","",'Detalle del Riesgo'!F88)</f>
        <v>42902</v>
      </c>
    </row>
    <row r="16" spans="1:10" x14ac:dyDescent="0.2">
      <c r="A16" s="157" t="str">
        <f>IF(LEFT('Detalle del Riesgo'!D108)="&lt;","",'Detalle del Riesgo'!C108)</f>
        <v>RG_005</v>
      </c>
      <c r="B16" s="158">
        <f>IF($A16="","",'Detalle del Riesgo'!F110)</f>
        <v>1</v>
      </c>
      <c r="C16" s="159" t="str">
        <f>IF($A16="","",LEFT('Detalle del Riesgo'!D115,1))</f>
        <v>S</v>
      </c>
      <c r="D16" s="160" t="str">
        <f>IF($A16="","",'Detalle del Riesgo'!D108)</f>
        <v>No hay suficiente personal disponible para el proyecto.</v>
      </c>
      <c r="E16" s="161" t="str">
        <f>IF($A16="","",'Detalle del Riesgo'!C112)</f>
        <v>YSCG</v>
      </c>
      <c r="F16" s="159" t="str">
        <f>IF(OR($A16="",$H16="Retired"),"",'Detalle del Riesgo'!D110)</f>
        <v>R</v>
      </c>
      <c r="G16" s="159" t="str">
        <f>IF($A16="","",'Detalle del Riesgo'!C115)</f>
        <v>&lt;1 mes</v>
      </c>
      <c r="H16" s="159" t="str">
        <f>IF($A16= "","",'Detalle del Riesgo'!F108)</f>
        <v>Mitigar</v>
      </c>
      <c r="I16" s="162">
        <f>IF($A16= "","",'Detalle del Riesgo'!C110)</f>
        <v>42902</v>
      </c>
      <c r="J16" s="163">
        <f>IF($A16= "","",'Detalle del Riesgo'!F114)</f>
        <v>42902</v>
      </c>
    </row>
    <row r="17" spans="1:10" x14ac:dyDescent="0.2">
      <c r="A17" s="157" t="str">
        <f>IF(LEFT('Detalle del Riesgo'!D134)="&lt;","",'Detalle del Riesgo'!C134)</f>
        <v>RG_006</v>
      </c>
      <c r="B17" s="158">
        <f>IF($A17="","",'Detalle del Riesgo'!F136)</f>
        <v>2</v>
      </c>
      <c r="C17" s="159" t="str">
        <f>IF($A17="","",LEFT('Detalle del Riesgo'!D141,1))</f>
        <v>S</v>
      </c>
      <c r="D17" s="160" t="str">
        <f>IF($A17="","",'Detalle del Riesgo'!D134)</f>
        <v>El usuario introduce nuevos requerimientos.</v>
      </c>
      <c r="E17" s="161" t="str">
        <f>IF($A17="","",'Detalle del Riesgo'!C138)</f>
        <v>YSCG</v>
      </c>
      <c r="F17" s="159" t="str">
        <f>IF(OR($A17="",$H17="Retired"),"",'Detalle del Riesgo'!D136)</f>
        <v>R</v>
      </c>
      <c r="G17" s="159" t="str">
        <f>IF($A17="","",'Detalle del Riesgo'!C141)</f>
        <v>&lt;1 mes</v>
      </c>
      <c r="H17" s="159" t="str">
        <f>IF($A17= "","",'Detalle del Riesgo'!F134)</f>
        <v>Prevenir</v>
      </c>
      <c r="I17" s="162">
        <f>IF($A17= "","",'Detalle del Riesgo'!C136)</f>
        <v>42902</v>
      </c>
      <c r="J17" s="163">
        <f>IF($A17= "","",'Detalle del Riesgo'!F140)</f>
        <v>42902</v>
      </c>
    </row>
    <row r="18" spans="1:10" x14ac:dyDescent="0.2">
      <c r="A18" s="157" t="str">
        <f>IF(LEFT('Detalle del Riesgo'!D160)="&lt;","",'Detalle del Riesgo'!C160)</f>
        <v>RG_007</v>
      </c>
      <c r="B18" s="158">
        <f>IF($A18="","",'Detalle del Riesgo'!F162)</f>
        <v>7</v>
      </c>
      <c r="C18" s="159" t="str">
        <f>IF($A18="","",LEFT('Detalle del Riesgo'!D167,1))</f>
        <v>S</v>
      </c>
      <c r="D18" s="160" t="str">
        <f>IF($A18="","",'Detalle del Riesgo'!D160)</f>
        <v>El usuario se involucra demasiado en el desarrollo.</v>
      </c>
      <c r="E18" s="161" t="str">
        <f>IF($A18="","",'Detalle del Riesgo'!C164)</f>
        <v>YSCG</v>
      </c>
      <c r="F18" s="159" t="str">
        <f>IF(OR($A18="",$H18="Retired"),"",'Detalle del Riesgo'!D162)</f>
        <v>Y</v>
      </c>
      <c r="G18" s="159" t="str">
        <f>IF($A18="","",'Detalle del Riesgo'!C167)</f>
        <v>1-3 meses</v>
      </c>
      <c r="H18" s="159" t="str">
        <f>IF($A18= "","",'Detalle del Riesgo'!F160)</f>
        <v>Prevenir</v>
      </c>
      <c r="I18" s="162">
        <f>IF($A18= "","",'Detalle del Riesgo'!C162)</f>
        <v>42902</v>
      </c>
      <c r="J18" s="163">
        <f>IF($A18= "","",'Detalle del Riesgo'!F166)</f>
        <v>42902</v>
      </c>
    </row>
    <row r="19" spans="1:10" x14ac:dyDescent="0.2">
      <c r="A19" s="157" t="str">
        <f>IF(LEFT('Detalle del Riesgo'!D186)="&lt;","",'Detalle del Riesgo'!C186)</f>
        <v>RG_008</v>
      </c>
      <c r="B19" s="158">
        <f>IF($A19="","",'Detalle del Riesgo'!F188)</f>
        <v>1</v>
      </c>
      <c r="C19" s="159" t="str">
        <f>IF($A19="","",LEFT('Detalle del Riesgo'!D193,1))</f>
        <v>S</v>
      </c>
      <c r="D19" s="160" t="str">
        <f>IF($A19="","",'Detalle del Riesgo'!D186)</f>
        <v>El usuario abandona el proyecto.</v>
      </c>
      <c r="E19" s="161" t="str">
        <f>IF($A19="","",'Detalle del Riesgo'!C190)</f>
        <v>YSCG</v>
      </c>
      <c r="F19" s="159" t="str">
        <f>IF(OR($A19="",$H19="Retired"),"",'Detalle del Riesgo'!D188)</f>
        <v>Y</v>
      </c>
      <c r="G19" s="159" t="str">
        <f>IF($A19="","",'Detalle del Riesgo'!C193)</f>
        <v>&gt; 3 meses</v>
      </c>
      <c r="H19" s="159" t="str">
        <f>IF($A19= "","",'Detalle del Riesgo'!F186)</f>
        <v>Prevenir</v>
      </c>
      <c r="I19" s="162">
        <f>IF($A19= "","",'Detalle del Riesgo'!C188)</f>
        <v>42902</v>
      </c>
      <c r="J19" s="163">
        <f>IF($A19= "","",'Detalle del Riesgo'!F192)</f>
        <v>42902</v>
      </c>
    </row>
    <row r="20" spans="1:10" x14ac:dyDescent="0.2">
      <c r="A20" s="157" t="str">
        <f>IF(LEFT('Detalle del Riesgo'!D212)="&lt;","",'Detalle del Riesgo'!C212)</f>
        <v>RG_009</v>
      </c>
      <c r="B20" s="158">
        <f>IF($A20="","",'Detalle del Riesgo'!F214)</f>
        <v>6</v>
      </c>
      <c r="C20" s="159" t="str">
        <f>IF($A20="","",LEFT('Detalle del Riesgo'!D219,1))</f>
        <v>S</v>
      </c>
      <c r="D20" s="160" t="str">
        <f>IF($A20="","",'Detalle del Riesgo'!D212)</f>
        <v>El usuario rechaza el proyecto final.</v>
      </c>
      <c r="E20" s="161" t="str">
        <f>IF($A20="","",'Detalle del Riesgo'!C216)</f>
        <v>YSCG</v>
      </c>
      <c r="F20" s="159" t="str">
        <f>IF(OR($A20="",$H20="Retired"),"",'Detalle del Riesgo'!D214)</f>
        <v>Y</v>
      </c>
      <c r="G20" s="159" t="str">
        <f>IF($A20="","",'Detalle del Riesgo'!C219)</f>
        <v>&lt;1 mes</v>
      </c>
      <c r="H20" s="159" t="str">
        <f>IF($A20= "","",'Detalle del Riesgo'!F212)</f>
        <v>Mitigar</v>
      </c>
      <c r="I20" s="162">
        <f>IF($A20= "","",'Detalle del Riesgo'!C214)</f>
        <v>42902</v>
      </c>
      <c r="J20" s="163">
        <f>IF($A20= "","",'Detalle del Riesgo'!F218)</f>
        <v>42902</v>
      </c>
    </row>
    <row r="21" spans="1:10" x14ac:dyDescent="0.2">
      <c r="A21" s="157" t="str">
        <f>IF(LEFT('Detalle del Riesgo'!D238)="&lt;","",'Detalle del Riesgo'!C238)</f>
        <v>RG_010</v>
      </c>
      <c r="B21" s="158">
        <f>IF($A21="","",'Detalle del Riesgo'!F240)</f>
        <v>9</v>
      </c>
      <c r="C21" s="159" t="str">
        <f>IF($A21="","",LEFT('Detalle del Riesgo'!D245,1))</f>
        <v>S</v>
      </c>
      <c r="D21" s="160" t="str">
        <f>IF($A21="","",'Detalle del Riesgo'!D238)</f>
        <v>No existen procesos de monitoreo de las áreas.</v>
      </c>
      <c r="E21" s="161" t="str">
        <f>IF($A21="","",'Detalle del Riesgo'!C242)</f>
        <v>YSCG</v>
      </c>
      <c r="F21" s="159" t="str">
        <f>IF(OR($A21="",$H21="Retired"),"",'Detalle del Riesgo'!D240)</f>
        <v>Y</v>
      </c>
      <c r="G21" s="159" t="str">
        <f>IF($A21="","",'Detalle del Riesgo'!C245)</f>
        <v>1-3 meses</v>
      </c>
      <c r="H21" s="159" t="str">
        <f>IF($A21= "","",'Detalle del Riesgo'!F238)</f>
        <v>Prevenir</v>
      </c>
      <c r="I21" s="162">
        <f>IF($A21= "","",'Detalle del Riesgo'!C240)</f>
        <v>42902</v>
      </c>
      <c r="J21" s="163">
        <f>IF($A21= "","",'Detalle del Riesgo'!F244)</f>
        <v>42902</v>
      </c>
    </row>
    <row r="22" spans="1:10" x14ac:dyDescent="0.2">
      <c r="A22" s="157" t="str">
        <f>IF(LEFT('Detalle del Riesgo'!D264)="&lt;","",'Detalle del Riesgo'!C264)</f>
        <v>RG_011</v>
      </c>
      <c r="B22" s="158">
        <f>IF($A22="","",'Detalle del Riesgo'!F266)</f>
        <v>8</v>
      </c>
      <c r="C22" s="159" t="str">
        <f>IF($A22="","",LEFT('Detalle del Riesgo'!D271,1))</f>
        <v>S</v>
      </c>
      <c r="D22" s="160" t="str">
        <f>IF($A22="","",'Detalle del Riesgo'!D264)</f>
        <v>Pobre aseguramiento de calidad.</v>
      </c>
      <c r="E22" s="161" t="str">
        <f>IF($A22="","",'Detalle del Riesgo'!C268)</f>
        <v>YSCG</v>
      </c>
      <c r="F22" s="159" t="str">
        <f>IF(OR($A22="",$H22="Retired"),"",'Detalle del Riesgo'!D266)</f>
        <v>Y</v>
      </c>
      <c r="G22" s="159" t="str">
        <f>IF($A22="","",'Detalle del Riesgo'!C271)</f>
        <v>1-3 meses</v>
      </c>
      <c r="H22" s="159" t="str">
        <f>IF($A22= "","",'Detalle del Riesgo'!F264)</f>
        <v>Mitigar</v>
      </c>
      <c r="I22" s="162">
        <f>IF($A22= "","",'Detalle del Riesgo'!C266)</f>
        <v>42902</v>
      </c>
      <c r="J22" s="163">
        <f>IF($A22= "","",'Detalle del Riesgo'!F270)</f>
        <v>42902</v>
      </c>
    </row>
    <row r="23" spans="1:10" x14ac:dyDescent="0.2">
      <c r="A23" s="157" t="str">
        <f>IF(LEFT('Detalle del Riesgo'!D290)="&lt;","",'Detalle del Riesgo'!C290)</f>
        <v>RG_012</v>
      </c>
      <c r="B23" s="158">
        <f>IF($A23="","",'Detalle del Riesgo'!F292)</f>
        <v>10</v>
      </c>
      <c r="C23" s="159" t="str">
        <f>IF($A23="","",LEFT('Detalle del Riesgo'!D297,1))</f>
        <v>S</v>
      </c>
      <c r="D23" s="160" t="str">
        <f>IF($A23="","",'Detalle del Riesgo'!D290)</f>
        <v>Seguimiento inexacto del proceso.</v>
      </c>
      <c r="E23" s="161" t="str">
        <f>IF($A23="","",'Detalle del Riesgo'!C294)</f>
        <v>YSCG</v>
      </c>
      <c r="F23" s="159" t="str">
        <f>IF(OR($A23="",$H23="Retired"),"",'Detalle del Riesgo'!D292)</f>
        <v>Y</v>
      </c>
      <c r="G23" s="159" t="str">
        <f>IF($A23="","",'Detalle del Riesgo'!C297)</f>
        <v>1-3 meses</v>
      </c>
      <c r="H23" s="159" t="str">
        <f>IF($A23= "","",'Detalle del Riesgo'!F290)</f>
        <v>Prevenir</v>
      </c>
      <c r="I23" s="162">
        <f>IF($A23= "","",'Detalle del Riesgo'!C292)</f>
        <v>42902</v>
      </c>
      <c r="J23" s="163">
        <f>IF($A23= "","",'Detalle del Riesgo'!F296)</f>
        <v>42902</v>
      </c>
    </row>
    <row r="24" spans="1:10" x14ac:dyDescent="0.2">
      <c r="A24" s="157" t="str">
        <f>IF(LEFT('Detalle del Riesgo'!D316)="&lt;","",'Detalle del Riesgo'!C316)</f>
        <v>RG_013</v>
      </c>
      <c r="B24" s="158">
        <f>IF($A24="","",'Detalle del Riesgo'!F318)</f>
        <v>11</v>
      </c>
      <c r="C24" s="159" t="str">
        <f>IF($A24="","",LEFT('Detalle del Riesgo'!D323,1))</f>
        <v>S</v>
      </c>
      <c r="D24" s="160" t="str">
        <f>IF($A24="","",'Detalle del Riesgo'!D316)</f>
        <v>Inclemencias meteorológicas.</v>
      </c>
      <c r="E24" s="161" t="str">
        <f>IF($A24="","",'Detalle del Riesgo'!C320)</f>
        <v>YSCG</v>
      </c>
      <c r="F24" s="159" t="str">
        <f>IF(OR($A24="",$H24="Retired"),"",'Detalle del Riesgo'!D318)</f>
        <v>Y</v>
      </c>
      <c r="G24" s="159" t="str">
        <f>IF($A24="","",'Detalle del Riesgo'!C323)</f>
        <v>&lt;1 mes</v>
      </c>
      <c r="H24" s="159" t="str">
        <f>IF($A24= "","",'Detalle del Riesgo'!F316)</f>
        <v>Mitigar</v>
      </c>
      <c r="I24" s="162">
        <f>IF($A24= "","",'Detalle del Riesgo'!C318)</f>
        <v>42902</v>
      </c>
      <c r="J24" s="163">
        <f>IF($A24= "","",'Detalle del Riesgo'!F322)</f>
        <v>42902</v>
      </c>
    </row>
    <row r="25" spans="1:10" x14ac:dyDescent="0.2">
      <c r="A25" s="157" t="str">
        <f>IF(LEFT('Detalle del Riesgo'!D342)="&lt;","",'Detalle del Riesgo'!C342)</f>
        <v>RG_014</v>
      </c>
      <c r="B25" s="158">
        <f>IF($A25="","",'Detalle del Riesgo'!F344)</f>
        <v>1</v>
      </c>
      <c r="C25" s="159" t="str">
        <f>IF($A25="","",LEFT('Detalle del Riesgo'!D349,1))</f>
        <v>S</v>
      </c>
      <c r="D25" s="160" t="str">
        <f>IF($A25="","",'Detalle del Riesgo'!D342)</f>
        <v>Inflación.</v>
      </c>
      <c r="E25" s="161" t="str">
        <f>IF($A25="","",'Detalle del Riesgo'!C346)</f>
        <v>YSCG</v>
      </c>
      <c r="F25" s="159" t="str">
        <f>IF(OR($A25="",$H25="Retired"),"",'Detalle del Riesgo'!D344)</f>
        <v>R</v>
      </c>
      <c r="G25" s="159" t="str">
        <f>IF($A25="","",'Detalle del Riesgo'!C349)</f>
        <v>&gt; 3 meses</v>
      </c>
      <c r="H25" s="159" t="str">
        <f>IF($A25= "","",'Detalle del Riesgo'!F342)</f>
        <v>Aceptar</v>
      </c>
      <c r="I25" s="162">
        <f>IF($A25= "","",'Detalle del Riesgo'!C344)</f>
        <v>42902</v>
      </c>
      <c r="J25" s="163">
        <f>IF($A25= "","",'Detalle del Riesgo'!F348)</f>
        <v>42902</v>
      </c>
    </row>
    <row r="26" spans="1:10" x14ac:dyDescent="0.2">
      <c r="A26" s="157" t="str">
        <f>IF(LEFT('Detalle del Riesgo'!D368)="&lt;","",'Detalle del Riesgo'!C368)</f>
        <v>RG_015</v>
      </c>
      <c r="B26" s="158">
        <f>IF($A26="","",'Detalle del Riesgo'!F370)</f>
        <v>12</v>
      </c>
      <c r="C26" s="159" t="str">
        <f>IF($A26="","",LEFT('Detalle del Riesgo'!D375,1))</f>
        <v>S</v>
      </c>
      <c r="D26" s="160" t="str">
        <f>IF($A26="","",'Detalle del Riesgo'!D368)</f>
        <v>Producto que depende de la ley.</v>
      </c>
      <c r="E26" s="161" t="str">
        <f>IF($A26="","",'Detalle del Riesgo'!C372)</f>
        <v>YSCG</v>
      </c>
      <c r="F26" s="159" t="str">
        <f>IF(OR($A26="",$H26="Retired"),"",'Detalle del Riesgo'!D370)</f>
        <v>Y</v>
      </c>
      <c r="G26" s="159" t="str">
        <f>IF($A26="","",'Detalle del Riesgo'!C375)</f>
        <v>&gt; 3 meses</v>
      </c>
      <c r="H26" s="159" t="str">
        <f>IF($A26= "","",'Detalle del Riesgo'!F368)</f>
        <v>Prevenir</v>
      </c>
      <c r="I26" s="162">
        <f>IF($A26= "","",'Detalle del Riesgo'!C370)</f>
        <v>42902</v>
      </c>
      <c r="J26" s="163">
        <f>IF($A26= "","",'Detalle del Riesgo'!F374)</f>
        <v>42902</v>
      </c>
    </row>
    <row r="27" spans="1:10" x14ac:dyDescent="0.2">
      <c r="A27" s="157" t="str">
        <f>IF(LEFT('Detalle del Riesgo'!D394)="&lt;","",'Detalle del Riesgo'!C394)</f>
        <v>RG_016</v>
      </c>
      <c r="B27" s="158">
        <f>IF($A27="","",'Detalle del Riesgo'!F396)</f>
        <v>5</v>
      </c>
      <c r="C27" s="159" t="str">
        <f>IF($A27="","",LEFT('Detalle del Riesgo'!D401,1))</f>
        <v>S</v>
      </c>
      <c r="D27" s="160" t="str">
        <f>IF($A27="","",'Detalle del Riesgo'!D394)</f>
        <v>Los requerimientos no siguen normativas</v>
      </c>
      <c r="E27" s="161" t="str">
        <f>IF($A27="","",'Detalle del Riesgo'!C398)</f>
        <v>YSCG</v>
      </c>
      <c r="F27" s="159" t="str">
        <f>IF(OR($A27="",$H27="Retired"),"",'Detalle del Riesgo'!D396)</f>
        <v>Y</v>
      </c>
      <c r="G27" s="159" t="str">
        <f>IF($A27="","",'Detalle del Riesgo'!C401)</f>
        <v>1-3 meses</v>
      </c>
      <c r="H27" s="159" t="str">
        <f>IF($A27= "","",'Detalle del Riesgo'!F394)</f>
        <v>Prevenir</v>
      </c>
      <c r="I27" s="162">
        <f>IF($A27= "","",'Detalle del Riesgo'!C396)</f>
        <v>42902</v>
      </c>
      <c r="J27" s="163">
        <f>IF($A27= "","",'Detalle del Riesgo'!F400)</f>
        <v>42902</v>
      </c>
    </row>
    <row r="28" spans="1:10" x14ac:dyDescent="0.2">
      <c r="A28" s="157" t="str">
        <f>IF(LEFT('Detalle del Riesgo'!D420)="&lt;","",'Detalle del Riesgo'!C420)</f>
        <v>RG_017</v>
      </c>
      <c r="B28" s="158">
        <f>IF($A28="","",'Detalle del Riesgo'!F422)</f>
        <v>4</v>
      </c>
      <c r="C28" s="159" t="str">
        <f>IF($A28="","",LEFT('Detalle del Riesgo'!D427,1))</f>
        <v>S</v>
      </c>
      <c r="D28" s="160" t="str">
        <f>IF($A28="","",'Detalle del Riesgo'!D420)</f>
        <v>La definición de requerimientos tarda más de lo especificado</v>
      </c>
      <c r="E28" s="161" t="str">
        <f>IF($A28="","",'Detalle del Riesgo'!C424)</f>
        <v>YSCG</v>
      </c>
      <c r="F28" s="159" t="str">
        <f>IF(OR($A28="",$H28="Retired"),"",'Detalle del Riesgo'!D422)</f>
        <v>Y</v>
      </c>
      <c r="G28" s="159" t="str">
        <f>IF($A28="","",'Detalle del Riesgo'!C427)</f>
        <v>&lt;1 mes</v>
      </c>
      <c r="H28" s="159" t="str">
        <f>IF($A28= "","",'Detalle del Riesgo'!F420)</f>
        <v>Prevenir</v>
      </c>
      <c r="I28" s="162">
        <f>IF($A28= "","",'Detalle del Riesgo'!C422)</f>
        <v>42902</v>
      </c>
      <c r="J28" s="163">
        <f>IF($A28= "","",'Detalle del Riesgo'!F426)</f>
        <v>42902</v>
      </c>
    </row>
    <row r="29" spans="1:10" x14ac:dyDescent="0.2">
      <c r="A29" s="157" t="str">
        <f>IF(LEFT('Detalle del Riesgo'!D446)="&lt;","",'Detalle del Riesgo'!C446)</f>
        <v>RG_018</v>
      </c>
      <c r="B29" s="158">
        <f>IF($A29="","",'Detalle del Riesgo'!F448)</f>
        <v>4</v>
      </c>
      <c r="C29" s="159" t="str">
        <f>IF($A29="","",LEFT('Detalle del Riesgo'!D453,1))</f>
        <v>S</v>
      </c>
      <c r="D29" s="160" t="str">
        <f>IF($A29="","",'Detalle del Riesgo'!D446)</f>
        <v>Excesiva carga de trabajo</v>
      </c>
      <c r="E29" s="161" t="str">
        <f>IF($A29="","",'Detalle del Riesgo'!C450)</f>
        <v>YSCG</v>
      </c>
      <c r="F29" s="159" t="str">
        <f>IF(OR($A29="",$H29="Retired"),"",'Detalle del Riesgo'!D448)</f>
        <v>R</v>
      </c>
      <c r="G29" s="159" t="str">
        <f>IF($A29="","",'Detalle del Riesgo'!C453)</f>
        <v>&lt;1 mes</v>
      </c>
      <c r="H29" s="159" t="str">
        <f>IF($A29= "","",'Detalle del Riesgo'!F446)</f>
        <v>Mitigar</v>
      </c>
      <c r="I29" s="162">
        <f>IF($A29= "","",'Detalle del Riesgo'!C448)</f>
        <v>42902</v>
      </c>
      <c r="J29" s="163">
        <f>IF($A29= "","",'Detalle del Riesgo'!F452)</f>
        <v>42902</v>
      </c>
    </row>
    <row r="30" spans="1:10" x14ac:dyDescent="0.2">
      <c r="A30" s="157" t="str">
        <f>IF(LEFT('Detalle del Riesgo'!D472)="&lt;","",'Detalle del Riesgo'!C472)</f>
        <v>RG_019</v>
      </c>
      <c r="B30" s="158">
        <f>IF($A30="","",'Detalle del Riesgo'!F474)</f>
        <v>5</v>
      </c>
      <c r="C30" s="159" t="str">
        <f>IF($A30="","",LEFT('Detalle del Riesgo'!D479,1))</f>
        <v>S</v>
      </c>
      <c r="D30" s="160" t="str">
        <f>IF($A30="","",'Detalle del Riesgo'!D472)</f>
        <v>Excesiva presion de calendario</v>
      </c>
      <c r="E30" s="161" t="str">
        <f>IF($A30="","",'Detalle del Riesgo'!C476)</f>
        <v>YSCG</v>
      </c>
      <c r="F30" s="159" t="str">
        <f>IF(OR($A30="",$H30="Retired"),"",'Detalle del Riesgo'!D474)</f>
        <v>R</v>
      </c>
      <c r="G30" s="159" t="str">
        <f>IF($A30="","",'Detalle del Riesgo'!C479)</f>
        <v>&lt;1 mes</v>
      </c>
      <c r="H30" s="159" t="str">
        <f>IF($A30= "","",'Detalle del Riesgo'!F472)</f>
        <v>Mitigar</v>
      </c>
      <c r="I30" s="162">
        <f>IF($A30= "","",'Detalle del Riesgo'!C474)</f>
        <v>42902</v>
      </c>
      <c r="J30" s="163">
        <f>IF($A30= "","",'Detalle del Riesgo'!F478)</f>
        <v>42902</v>
      </c>
    </row>
    <row r="31" spans="1:10" x14ac:dyDescent="0.2">
      <c r="A31" s="157" t="str">
        <f>IF(LEFT('Detalle del Riesgo'!D498)="&lt;","",'Detalle del Riesgo'!C498)</f>
        <v>RG_020</v>
      </c>
      <c r="B31" s="158">
        <f>IF($A31="","",'Detalle del Riesgo'!F500)</f>
        <v>1</v>
      </c>
      <c r="C31" s="159" t="str">
        <f>IF($A31="","",LEFT('Detalle del Riesgo'!D505,1))</f>
        <v>S</v>
      </c>
      <c r="D31" s="160" t="str">
        <f>IF($A31="","",'Detalle del Riesgo'!D498)</f>
        <v>No existe un proceso para la selección de recursos</v>
      </c>
      <c r="E31" s="161" t="str">
        <f>IF($A31="","",'Detalle del Riesgo'!C502)</f>
        <v>YSCG</v>
      </c>
      <c r="F31" s="159" t="str">
        <f>IF(OR($A31="",$H31="Retired"),"",'Detalle del Riesgo'!D500)</f>
        <v>G</v>
      </c>
      <c r="G31" s="159" t="str">
        <f>IF($A31="","",'Detalle del Riesgo'!C505)</f>
        <v>&lt;1 mes</v>
      </c>
      <c r="H31" s="159" t="str">
        <f>IF($A31= "","",'Detalle del Riesgo'!F498)</f>
        <v>Prevenir</v>
      </c>
      <c r="I31" s="162">
        <f>IF($A31= "","",'Detalle del Riesgo'!C500)</f>
        <v>42902</v>
      </c>
      <c r="J31" s="163">
        <f>IF($A31= "","",'Detalle del Riesgo'!F504)</f>
        <v>42902</v>
      </c>
    </row>
    <row r="32" spans="1:10" x14ac:dyDescent="0.2">
      <c r="A32" s="157" t="str">
        <f>IF(LEFT('Detalle del Riesgo'!D524)="&lt;","",'Detalle del Riesgo'!C524)</f>
        <v>RG_021</v>
      </c>
      <c r="B32" s="158">
        <f>IF($A32="","",'Detalle del Riesgo'!F526)</f>
        <v>2</v>
      </c>
      <c r="C32" s="159" t="str">
        <f>IF($A32="","",LEFT('Detalle del Riesgo'!D531,1))</f>
        <v>N</v>
      </c>
      <c r="D32" s="160" t="str">
        <f>IF($A32="","",'Detalle del Riesgo'!D524)</f>
        <v>El usuario no se involucra en el proyecto.</v>
      </c>
      <c r="E32" s="161" t="str">
        <f>IF($A32="","",'Detalle del Riesgo'!C528)</f>
        <v>YSCG</v>
      </c>
      <c r="F32" s="159" t="str">
        <f>IF(OR($A32="",$H32="Retired"),"",'Detalle del Riesgo'!D526)</f>
        <v>G</v>
      </c>
      <c r="G32" s="159" t="str">
        <f>IF($A32="","",'Detalle del Riesgo'!C531)</f>
        <v>&lt;1 mes</v>
      </c>
      <c r="H32" s="159" t="str">
        <f>IF($A32= "","",'Detalle del Riesgo'!F524)</f>
        <v>Prevenir</v>
      </c>
      <c r="I32" s="162">
        <f>IF($A32= "","",'Detalle del Riesgo'!C526)</f>
        <v>42902</v>
      </c>
      <c r="J32" s="163">
        <f>IF($A32= "","",'Detalle del Riesgo'!F530)</f>
        <v>42902</v>
      </c>
    </row>
    <row r="33" spans="1:10" x14ac:dyDescent="0.2">
      <c r="A33" s="157" t="str">
        <f>IF(LEFT('Detalle del Riesgo'!D550)="&lt;","",'Detalle del Riesgo'!C550)</f>
        <v>RG_022</v>
      </c>
      <c r="B33" s="158">
        <f>IF($A33="","",'Detalle del Riesgo'!F552)</f>
        <v>3</v>
      </c>
      <c r="C33" s="159" t="str">
        <f>IF($A33="","",LEFT('Detalle del Riesgo'!D557,1))</f>
        <v>S</v>
      </c>
      <c r="D33" s="160" t="str">
        <f>IF($A33="","",'Detalle del Riesgo'!D550)</f>
        <v>Modificación de fechas de entrega</v>
      </c>
      <c r="E33" s="161" t="str">
        <f>IF($A33="","",'Detalle del Riesgo'!C554)</f>
        <v>YSCG</v>
      </c>
      <c r="F33" s="159" t="str">
        <f>IF(OR($A33="",$H33="Retired"),"",'Detalle del Riesgo'!D552)</f>
        <v>R</v>
      </c>
      <c r="G33" s="159" t="str">
        <f>IF($A33="","",'Detalle del Riesgo'!C557)</f>
        <v>&lt;1 mes</v>
      </c>
      <c r="H33" s="159" t="str">
        <f>IF($A33= "","",'Detalle del Riesgo'!F550)</f>
        <v>Prevenir</v>
      </c>
      <c r="I33" s="162">
        <f>IF($A33= "","",'Detalle del Riesgo'!C552)</f>
        <v>42901</v>
      </c>
      <c r="J33" s="163">
        <f>IF($A33= "","",'Detalle del Riesgo'!F556)</f>
        <v>42901</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3"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0</v>
      </c>
      <c r="D12" s="123">
        <f>Resumen!I6</f>
        <v>0</v>
      </c>
      <c r="E12" s="123">
        <f>COUNTIF($H$14:$H$1002,"RMitigar")</f>
        <v>3</v>
      </c>
      <c r="F12" s="123">
        <f>COUNTIF($H$14:$H$1002,"RAceptar")</f>
        <v>1</v>
      </c>
    </row>
    <row r="13" spans="1:8" x14ac:dyDescent="0.2">
      <c r="B13" s="120" t="s">
        <v>19</v>
      </c>
      <c r="C13" s="124">
        <f>Resumen!G7</f>
        <v>0</v>
      </c>
      <c r="D13" s="124">
        <f>Resumen!I7</f>
        <v>0</v>
      </c>
      <c r="E13" s="124">
        <f>COUNTIF($H$14:$H$1002,"YMitigar")</f>
        <v>3</v>
      </c>
      <c r="F13" s="124">
        <f>COUNTIF($H$14:$H$1002,"YAceptar")</f>
        <v>0</v>
      </c>
      <c r="H13" t="s">
        <v>239</v>
      </c>
    </row>
    <row r="14" spans="1:8" ht="13.5" thickBot="1" x14ac:dyDescent="0.25">
      <c r="B14" s="120" t="s">
        <v>20</v>
      </c>
      <c r="C14" s="125">
        <f>Resumen!G8</f>
        <v>1</v>
      </c>
      <c r="D14" s="125">
        <f>Resumen!I8</f>
        <v>0</v>
      </c>
      <c r="E14" s="125">
        <f>COUNTIF($H$14:$H$1002,"gMitigar")</f>
        <v>0</v>
      </c>
      <c r="F14" s="125">
        <f>COUNTIF($H$14:$H$1002,"GAceptar")</f>
        <v>0</v>
      </c>
      <c r="H14" s="204" t="str">
        <f>CONCATENATE(Resumen!F12,Resumen!H12)</f>
        <v>YPrevenir</v>
      </c>
    </row>
    <row r="15" spans="1:8" ht="13.5" thickBot="1" x14ac:dyDescent="0.25">
      <c r="B15" s="205" t="s">
        <v>120</v>
      </c>
      <c r="C15" s="206">
        <f>SUM(C12:C14)</f>
        <v>1</v>
      </c>
      <c r="D15" s="206">
        <f>SUM(D12:D14)</f>
        <v>0</v>
      </c>
      <c r="E15" s="206">
        <f>SUM(E12:E14)</f>
        <v>6</v>
      </c>
      <c r="F15" s="206">
        <f>SUM(F12:F14)</f>
        <v>1</v>
      </c>
      <c r="H15" s="204" t="str">
        <f>CONCATENATE(Resumen!F13,Resumen!H13)</f>
        <v>YPrevenir</v>
      </c>
    </row>
    <row r="16" spans="1:8" x14ac:dyDescent="0.2">
      <c r="H16" s="204" t="str">
        <f>CONCATENATE(Resumen!F14,Resumen!H14)</f>
        <v>YPrevenir</v>
      </c>
    </row>
    <row r="17" spans="8:8" x14ac:dyDescent="0.2">
      <c r="H17" s="204" t="str">
        <f>CONCATENATE(Resumen!F15,Resumen!H15)</f>
        <v>YPrevenir</v>
      </c>
    </row>
    <row r="18" spans="8:8" x14ac:dyDescent="0.2">
      <c r="H18" s="204" t="str">
        <f>CONCATENATE(Resumen!F16,Resumen!H16)</f>
        <v>RMitigar</v>
      </c>
    </row>
    <row r="19" spans="8:8" x14ac:dyDescent="0.2">
      <c r="H19" s="204" t="str">
        <f>CONCATENATE(Resumen!F17,Resumen!H17)</f>
        <v>RPrevenir</v>
      </c>
    </row>
    <row r="20" spans="8:8" x14ac:dyDescent="0.2">
      <c r="H20" s="204" t="str">
        <f>CONCATENATE(Resumen!F18,Resumen!H18)</f>
        <v>YPrevenir</v>
      </c>
    </row>
    <row r="21" spans="8:8" x14ac:dyDescent="0.2">
      <c r="H21" s="204" t="str">
        <f>CONCATENATE(Resumen!F19,Resumen!H19)</f>
        <v>YPrevenir</v>
      </c>
    </row>
    <row r="22" spans="8:8" x14ac:dyDescent="0.2">
      <c r="H22" s="204" t="str">
        <f>CONCATENATE(Resumen!F20,Resumen!H20)</f>
        <v>YMitigar</v>
      </c>
    </row>
    <row r="23" spans="8:8" x14ac:dyDescent="0.2">
      <c r="H23" s="204" t="str">
        <f>CONCATENATE(Resumen!F21,Resumen!H21)</f>
        <v>YPrevenir</v>
      </c>
    </row>
    <row r="24" spans="8:8" x14ac:dyDescent="0.2">
      <c r="H24" s="204" t="str">
        <f>CONCATENATE(Resumen!F22,Resumen!H22)</f>
        <v>YMitigar</v>
      </c>
    </row>
    <row r="25" spans="8:8" x14ac:dyDescent="0.2">
      <c r="H25" s="204" t="str">
        <f>CONCATENATE(Resumen!F23,Resumen!H23)</f>
        <v>YPrevenir</v>
      </c>
    </row>
    <row r="26" spans="8:8" x14ac:dyDescent="0.2">
      <c r="H26" s="204" t="str">
        <f>CONCATENATE(Resumen!F24,Resumen!H24)</f>
        <v>YMitigar</v>
      </c>
    </row>
    <row r="27" spans="8:8" x14ac:dyDescent="0.2">
      <c r="H27" s="204" t="str">
        <f>CONCATENATE(Resumen!F25,Resumen!H25)</f>
        <v>RAceptar</v>
      </c>
    </row>
    <row r="28" spans="8:8" x14ac:dyDescent="0.2">
      <c r="H28" s="204" t="str">
        <f>CONCATENATE(Resumen!F26,Resumen!H26)</f>
        <v>YPrevenir</v>
      </c>
    </row>
    <row r="29" spans="8:8" x14ac:dyDescent="0.2">
      <c r="H29" s="204" t="str">
        <f>CONCATENATE(Resumen!F27,Resumen!H27)</f>
        <v>YPrevenir</v>
      </c>
    </row>
    <row r="30" spans="8:8" x14ac:dyDescent="0.2">
      <c r="H30" s="204" t="str">
        <f>CONCATENATE(Resumen!F28,Resumen!H28)</f>
        <v>YPrevenir</v>
      </c>
    </row>
    <row r="31" spans="8:8" x14ac:dyDescent="0.2">
      <c r="H31" s="204" t="str">
        <f>CONCATENATE(Resumen!F29,Resumen!H29)</f>
        <v>RMitigar</v>
      </c>
    </row>
    <row r="32" spans="8:8" x14ac:dyDescent="0.2">
      <c r="H32" s="204" t="str">
        <f>CONCATENATE(Resumen!F30,Resumen!H30)</f>
        <v>RMitigar</v>
      </c>
    </row>
    <row r="33" spans="8:8" x14ac:dyDescent="0.2">
      <c r="H33" s="204" t="str">
        <f>CONCATENATE(Resumen!F31,Resumen!H31)</f>
        <v>GPrevenir</v>
      </c>
    </row>
    <row r="34" spans="8:8" x14ac:dyDescent="0.2">
      <c r="H34" s="204" t="str">
        <f>CONCATENATE(Resumen!F32,Resumen!H32)</f>
        <v>GPrevenir</v>
      </c>
    </row>
    <row r="35" spans="8:8" x14ac:dyDescent="0.2">
      <c r="H35" s="204" t="str">
        <f>CONCATENATE(Resumen!F33,Resumen!H33)</f>
        <v>RPrevenir</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0</v>
      </c>
      <c r="D5" s="54">
        <f>COUNTIF($D$16:$D$45,"R-M")</f>
        <v>6</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6</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3</v>
      </c>
      <c r="O6" s="109">
        <f>COUNTIF($M$16:$M$45,"Media - Alta")</f>
        <v>7</v>
      </c>
      <c r="P6" s="110">
        <f>COUNTIF($M$16:$M$45,"Media - Muy alta")</f>
        <v>0</v>
      </c>
      <c r="R6" s="188"/>
      <c r="S6" s="2" t="s">
        <v>151</v>
      </c>
      <c r="T6" s="4" t="s">
        <v>19</v>
      </c>
      <c r="U6" s="2">
        <v>8</v>
      </c>
    </row>
    <row r="7" spans="2:27" x14ac:dyDescent="0.2">
      <c r="B7" s="42" t="s">
        <v>19</v>
      </c>
      <c r="C7" s="54">
        <f>COUNTIF($C$16:$C$45,"Y-N")</f>
        <v>0</v>
      </c>
      <c r="D7" s="54">
        <f>COUNTIF($D$16:$D$45,"Y-M")</f>
        <v>14</v>
      </c>
      <c r="E7" s="54">
        <f>COUNTIF($E$16:$E$45,"Y-Retirar")</f>
        <v>0</v>
      </c>
      <c r="F7" s="55">
        <f>COUNTIF($F$16:$F$45,"Y-Abierto")</f>
        <v>14</v>
      </c>
      <c r="G7" s="51"/>
      <c r="H7" s="52"/>
      <c r="I7" s="52"/>
      <c r="J7" s="52"/>
      <c r="K7" s="111" t="s">
        <v>13</v>
      </c>
      <c r="L7" s="112">
        <f>COUNTIF($M$16:$M$45,"Baja - Muy baja")</f>
        <v>0</v>
      </c>
      <c r="M7" s="112">
        <f>COUNTIF($M$16:$M$45,"Baja - Baja")</f>
        <v>0</v>
      </c>
      <c r="N7" s="112">
        <f>COUNTIF($M$16:$M$45,"Baja - Media")</f>
        <v>2</v>
      </c>
      <c r="O7" s="112">
        <f>COUNTIF($M$16:$M$45,"Baja - Alta")</f>
        <v>2</v>
      </c>
      <c r="P7" s="113">
        <f>COUNTIF($M$16:$M$45,"Baja - Muy alta")</f>
        <v>2</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1</v>
      </c>
      <c r="D9" s="54">
        <f>COUNTIF($D$16:$D$45,"G-M")</f>
        <v>2</v>
      </c>
      <c r="E9" s="54">
        <f>COUNTIF($E$16:$E$45,"G-Retirar")</f>
        <v>0</v>
      </c>
      <c r="F9" s="55">
        <f>COUNTIF($F$16:$F$45,"G-Abierto")</f>
        <v>2</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v>
      </c>
      <c r="D11" s="43">
        <f>SUM(D5:D9)</f>
        <v>22</v>
      </c>
      <c r="E11" s="43">
        <f>SUM(E5:E9)</f>
        <v>0</v>
      </c>
      <c r="F11" s="40">
        <f>SUM(F5:F10)</f>
        <v>22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RG_001</v>
      </c>
      <c r="C16" s="51" t="str">
        <f>IF($B16="","",CONCATENATE(I16,"-",Resumen!C12))</f>
        <v>Y-S</v>
      </c>
      <c r="D16" s="51" t="str">
        <f>IF($B16="","",CONCATENATE(I16,"-",H16))</f>
        <v>Y-M</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Baja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RG_002</v>
      </c>
      <c r="C17" s="51" t="str">
        <f>IF(B17="","",CONCATENATE(I17,"-",Resumen!C13))</f>
        <v>Y-S</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
      <c r="B18" s="60" t="str">
        <f>Resumen!A14</f>
        <v>RG_003</v>
      </c>
      <c r="C18" s="51" t="str">
        <f>IF(B18="","",CONCATENATE(I18,"-",Resumen!C14))</f>
        <v>Y-S</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Media</v>
      </c>
      <c r="M18" t="str">
        <f>IF(OR(B18="",Resumen!H14="Retired"),"",CONCATENATE(K18," - ",L18))</f>
        <v>Media - Media</v>
      </c>
      <c r="N18"/>
      <c r="O18"/>
      <c r="P18"/>
      <c r="R18" s="188"/>
      <c r="S18" s="2" t="s">
        <v>163</v>
      </c>
      <c r="T18" s="4" t="s">
        <v>20</v>
      </c>
      <c r="U18" s="2">
        <v>15</v>
      </c>
      <c r="V18" s="3" t="s">
        <v>15</v>
      </c>
      <c r="W18" s="6">
        <v>4</v>
      </c>
      <c r="X18" s="7">
        <v>8</v>
      </c>
      <c r="Y18" s="7">
        <v>12</v>
      </c>
      <c r="Z18" s="8">
        <v>16</v>
      </c>
      <c r="AA18" s="8">
        <v>20</v>
      </c>
    </row>
    <row r="19" spans="2:27" x14ac:dyDescent="0.2">
      <c r="B19" s="60" t="str">
        <f>Resumen!A15</f>
        <v>RG_004</v>
      </c>
      <c r="C19" s="51" t="str">
        <f>IF(B19="","",CONCATENATE(I19,"-",Resumen!C15))</f>
        <v>Y-S</v>
      </c>
      <c r="D19" s="51" t="str">
        <f t="shared" si="1"/>
        <v>Y-M</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RG_005</v>
      </c>
      <c r="C20" s="51" t="str">
        <f>IF(B20="","",CONCATENATE(I20,"-",Resumen!C16))</f>
        <v>R-S</v>
      </c>
      <c r="D20" s="51" t="str">
        <f t="shared" si="1"/>
        <v>R-M</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t="str">
        <f>Resumen!A17</f>
        <v>RG_006</v>
      </c>
      <c r="C21" s="51" t="str">
        <f>IF(B21="","",CONCATENATE(I21,"-",Resumen!C17))</f>
        <v>R-S</v>
      </c>
      <c r="D21" s="51" t="str">
        <f t="shared" si="1"/>
        <v>R-M</v>
      </c>
      <c r="E21" s="51" t="str">
        <f>IF($B21="","",CONCATENATE(I21,"-",Resumen!H17))</f>
        <v>R-Prevenir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t="str">
        <f>Resumen!A18</f>
        <v>RG_007</v>
      </c>
      <c r="C22" s="51" t="str">
        <f>IF(B22="","",CONCATENATE(I22,"-",Resumen!C18))</f>
        <v>Y-S</v>
      </c>
      <c r="D22" s="51" t="str">
        <f t="shared" si="1"/>
        <v>Y-M</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RG_008</v>
      </c>
      <c r="C23" s="51" t="str">
        <f>IF(B23="","",CONCATENATE(I23,"-",Resumen!C19))</f>
        <v>Y-S</v>
      </c>
      <c r="D23" s="51" t="str">
        <f t="shared" si="1"/>
        <v>Y-M</v>
      </c>
      <c r="E23" s="51" t="str">
        <f>IF($B23="","",CONCATENATE(I23,"-",Resumen!H19))</f>
        <v>Y-Prevenir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Baja</v>
      </c>
      <c r="L23" t="str">
        <f>'Detalle del Riesgo'!$C192</f>
        <v>Muy alta</v>
      </c>
      <c r="M23" t="str">
        <f>IF(OR(B23="",Resumen!H19="Retired"),"",CONCATENATE(K23," - ",L23))</f>
        <v>Baja - Muy alta</v>
      </c>
      <c r="N23"/>
      <c r="O23"/>
      <c r="P23"/>
      <c r="R23" s="188"/>
      <c r="S23" s="2" t="s">
        <v>168</v>
      </c>
      <c r="T23" s="4" t="s">
        <v>20</v>
      </c>
      <c r="U23" s="2">
        <v>5</v>
      </c>
    </row>
    <row r="24" spans="2:27" x14ac:dyDescent="0.2">
      <c r="B24" s="60" t="str">
        <f>Resumen!A20</f>
        <v>RG_009</v>
      </c>
      <c r="C24" s="51" t="str">
        <f>IF(B24="","",CONCATENATE(I24,"-",Resumen!C20))</f>
        <v>Y-S</v>
      </c>
      <c r="D24" s="51" t="str">
        <f t="shared" si="1"/>
        <v>Y-M</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Baja</v>
      </c>
      <c r="L24" t="str">
        <f>'Detalle del Riesgo'!$C218</f>
        <v>Muy alta</v>
      </c>
      <c r="M24" t="str">
        <f>IF(OR(B24="",Resumen!H20="Retired"),"",CONCATENATE(K24," - ",L24))</f>
        <v>Baja - Muy alta</v>
      </c>
      <c r="N24"/>
      <c r="O24"/>
      <c r="P24"/>
      <c r="R24" s="188"/>
      <c r="S24" s="2" t="s">
        <v>169</v>
      </c>
      <c r="T24" s="4" t="s">
        <v>20</v>
      </c>
      <c r="U24" s="2">
        <v>22</v>
      </c>
    </row>
    <row r="25" spans="2:27" x14ac:dyDescent="0.2">
      <c r="B25" s="60" t="str">
        <f>Resumen!A21</f>
        <v>RG_010</v>
      </c>
      <c r="C25" s="51" t="str">
        <f>IF(B25="","",CONCATENATE(I25,"-",Resumen!C21))</f>
        <v>Y-S</v>
      </c>
      <c r="D25" s="51" t="str">
        <f t="shared" si="1"/>
        <v>Y-M</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RG_011</v>
      </c>
      <c r="C26" s="51" t="str">
        <f>IF(B26="","",CONCATENATE(I26,"-",Resumen!C22))</f>
        <v>Y-S</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Media</v>
      </c>
      <c r="L26" t="str">
        <f>'Detalle del Riesgo'!$C270</f>
        <v>Alta</v>
      </c>
      <c r="M26" t="str">
        <f>IF(OR(B26="",Resumen!H22="Retired"),"",CONCATENATE(K26," - ",L26))</f>
        <v>Media - Alta</v>
      </c>
      <c r="N26"/>
      <c r="O26"/>
      <c r="P26"/>
      <c r="R26" s="188"/>
      <c r="S26" s="2" t="s">
        <v>171</v>
      </c>
      <c r="T26" s="4" t="s">
        <v>20</v>
      </c>
      <c r="U26" s="2">
        <v>23</v>
      </c>
    </row>
    <row r="27" spans="2:27" x14ac:dyDescent="0.2">
      <c r="B27" s="60" t="str">
        <f>Resumen!A23</f>
        <v>RG_012</v>
      </c>
      <c r="C27" s="51" t="str">
        <f>IF(B27="","",CONCATENATE(I27,"-",Resumen!C23))</f>
        <v>Y-S</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8"/>
      <c r="S27" s="2" t="s">
        <v>172</v>
      </c>
      <c r="T27" s="4" t="s">
        <v>19</v>
      </c>
      <c r="U27" s="2">
        <v>21</v>
      </c>
    </row>
    <row r="28" spans="2:27" x14ac:dyDescent="0.2">
      <c r="B28" s="60" t="str">
        <f>Resumen!A24</f>
        <v>RG_013</v>
      </c>
      <c r="C28" s="51" t="str">
        <f>IF(B28="","",CONCATENATE(I28,"-",Resumen!C24))</f>
        <v>Y-S</v>
      </c>
      <c r="D28" s="51" t="str">
        <f t="shared" si="1"/>
        <v>Y-M</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Media</v>
      </c>
      <c r="M28" t="str">
        <f>IF(OR(B28="",Resumen!H24="Retired"),"",CONCATENATE(K28," - ",L28))</f>
        <v>Media - Media</v>
      </c>
      <c r="N28"/>
      <c r="O28"/>
      <c r="P28"/>
      <c r="R28" s="188"/>
      <c r="S28" s="2" t="s">
        <v>173</v>
      </c>
      <c r="T28" s="4" t="s">
        <v>20</v>
      </c>
      <c r="U28" s="2">
        <v>25</v>
      </c>
    </row>
    <row r="29" spans="2:27" x14ac:dyDescent="0.2">
      <c r="B29" s="60" t="str">
        <f>Resumen!A25</f>
        <v>RG_014</v>
      </c>
      <c r="C29" s="51" t="str">
        <f>IF(B29="","",CONCATENATE(I29,"-",Resumen!C25))</f>
        <v>R-S</v>
      </c>
      <c r="D29" s="51" t="str">
        <f t="shared" si="1"/>
        <v>R-M</v>
      </c>
      <c r="E29" s="51" t="str">
        <f>IF($B29="","",CONCATENATE(I29,"-",Resumen!H25))</f>
        <v>R-Aceptar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RG_015</v>
      </c>
      <c r="C30" s="51" t="str">
        <f>IF(B30="","",CONCATENATE(I30,"-",Resumen!C26))</f>
        <v>Y-S</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RG_016</v>
      </c>
      <c r="C31" s="51" t="str">
        <f>IF(B31="","",CONCATENATE(I31,"-",Resumen!C27))</f>
        <v>Y-S</v>
      </c>
      <c r="D31" s="51" t="str">
        <f t="shared" si="1"/>
        <v>Y-M</v>
      </c>
      <c r="E31" s="51" t="str">
        <f>IF($B31="","",CONCATENATE(I31,"-",Resumen!H27))</f>
        <v>Y-Prevenir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Baja</v>
      </c>
      <c r="L31" t="str">
        <f>'Detalle del Riesgo'!$C400</f>
        <v>Alta</v>
      </c>
      <c r="M31" t="str">
        <f>IF(OR(B31="",Resumen!H27="Retired"),"",CONCATENATE(K31," - ",L31))</f>
        <v>Baja - Alta</v>
      </c>
      <c r="N31"/>
      <c r="O31"/>
      <c r="P31"/>
    </row>
    <row r="32" spans="2:27" x14ac:dyDescent="0.2">
      <c r="B32" s="60" t="str">
        <f>Resumen!A28</f>
        <v>RG_017</v>
      </c>
      <c r="C32" s="51" t="str">
        <f>IF(B32="","",CONCATENATE(I32,"-",Resumen!C28))</f>
        <v>Y-S</v>
      </c>
      <c r="D32" s="51" t="str">
        <f t="shared" si="1"/>
        <v>Y-M</v>
      </c>
      <c r="E32" s="51" t="str">
        <f>IF($B32="","",CONCATENATE(I32,"-",Resumen!H28))</f>
        <v>Y-Prevenir</v>
      </c>
      <c r="F32" s="51" t="str">
        <f t="shared" si="0"/>
        <v>Y-Abierto</v>
      </c>
      <c r="G32" s="5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t="str">
        <f>Resumen!A29</f>
        <v>RG_018</v>
      </c>
      <c r="C33" s="51" t="str">
        <f>IF(B33="","",CONCATENATE(I33,"-",Resumen!C29))</f>
        <v>R-S</v>
      </c>
      <c r="D33" s="51" t="str">
        <f t="shared" si="1"/>
        <v>R-M</v>
      </c>
      <c r="E33" s="51" t="str">
        <f>IF($B33="","",CONCATENATE(I33,"-",Resumen!H29))</f>
        <v>R-Mitigar</v>
      </c>
      <c r="F33" s="51" t="str">
        <f t="shared" si="0"/>
        <v>R-Abierto</v>
      </c>
      <c r="G33" s="51" t="str">
        <f>IF(Resumen!H29="Retirar","Cerrado","Abierto")</f>
        <v>Abierto</v>
      </c>
      <c r="H33" s="9" t="str">
        <f>IF($B$16="","",IF(OR(ISBLANK('Detalle del Riesgo'!F453),ISTEXT('Detalle del Riesgo'!F453)),"",IF($H$15-'Detalle del Riesgo'!F453&gt;$H$14,"Not Modified","M")))</f>
        <v>M</v>
      </c>
      <c r="I33" s="10" t="str">
        <f>'Detalle del Riesgo'!D448</f>
        <v>R</v>
      </c>
      <c r="J33"/>
      <c r="K33" t="str">
        <f>'Detalle del Riesgo'!C451</f>
        <v>Alta</v>
      </c>
      <c r="L33" t="str">
        <f>'Detalle del Riesgo'!$C452</f>
        <v>Alta</v>
      </c>
      <c r="M33" t="str">
        <f>IF(OR(B33="",Resumen!H29="Retired"),"",CONCATENATE(K33," - ",L33))</f>
        <v>Alta - Alta</v>
      </c>
      <c r="N33"/>
      <c r="O33"/>
      <c r="P33"/>
    </row>
    <row r="34" spans="1:16" x14ac:dyDescent="0.2">
      <c r="B34" s="60" t="str">
        <f>Resumen!A30</f>
        <v>RG_019</v>
      </c>
      <c r="C34" s="51" t="str">
        <f>IF(B34="","",CONCATENATE(I34,"-",Resumen!C30))</f>
        <v>R-S</v>
      </c>
      <c r="D34" s="51" t="str">
        <f t="shared" si="1"/>
        <v>R-M</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M</v>
      </c>
      <c r="I34" s="10" t="str">
        <f>'Detalle del Riesgo'!D474</f>
        <v>R</v>
      </c>
      <c r="J34"/>
      <c r="K34" t="str">
        <f>'Detalle del Riesgo'!C477</f>
        <v>Alta</v>
      </c>
      <c r="L34" t="str">
        <f>'Detalle del Riesgo'!$C478</f>
        <v>Alta</v>
      </c>
      <c r="M34" t="str">
        <f>IF(OR(B34="",Resumen!H30="Retired"),"",CONCATENATE(K34," - ",L34))</f>
        <v>Alta - Alta</v>
      </c>
      <c r="N34"/>
      <c r="O34"/>
      <c r="P34"/>
    </row>
    <row r="35" spans="1:16" x14ac:dyDescent="0.2">
      <c r="B35" s="60" t="str">
        <f>Resumen!A31</f>
        <v>RG_020</v>
      </c>
      <c r="C35" s="51" t="str">
        <f>IF(B35="","",CONCATENATE(I35,"-",Resumen!C31))</f>
        <v>G-S</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Media</v>
      </c>
      <c r="M35" t="str">
        <f>IF(OR(B35="",Resumen!H31="Retired"),"",CONCATENATE(K35," - ",L35))</f>
        <v>Baja - Media</v>
      </c>
      <c r="N35"/>
      <c r="O35"/>
      <c r="P35"/>
    </row>
    <row r="36" spans="1:16" x14ac:dyDescent="0.2">
      <c r="B36" s="60" t="str">
        <f>Resumen!A32</f>
        <v>RG_021</v>
      </c>
      <c r="C36" s="51" t="str">
        <f>IF(B36="","",CONCATENATE(I36,"-",Resumen!C32))</f>
        <v>G-N</v>
      </c>
      <c r="D36" s="51" t="str">
        <f t="shared" si="1"/>
        <v>G-M</v>
      </c>
      <c r="E36" s="51" t="str">
        <f>IF($B36="","",CONCATENATE(I36,"-",Resumen!H32))</f>
        <v>G-Prevenir</v>
      </c>
      <c r="F36" s="51" t="str">
        <f t="shared" si="0"/>
        <v>G-Abierto</v>
      </c>
      <c r="G36" s="51" t="str">
        <f>IF(Resumen!H32="Retirar","Cerrado","Abierto")</f>
        <v>Abierto</v>
      </c>
      <c r="H36" s="9" t="str">
        <f>IF($B$16="","",IF(OR(ISBLANK('Detalle del Riesgo'!F531),ISTEXT('Detalle del Riesgo'!F531)),"",IF($H$15-'Detalle del Riesgo'!F531&gt;$H$14,"Not Modified","M")))</f>
        <v>M</v>
      </c>
      <c r="I36" s="10" t="str">
        <f>'Detalle del Riesgo'!D526</f>
        <v>G</v>
      </c>
      <c r="J36"/>
      <c r="K36" t="str">
        <f>'Detalle del Riesgo'!C529</f>
        <v>Baja</v>
      </c>
      <c r="L36" t="str">
        <f>'Detalle del Riesgo'!$C530</f>
        <v>Media</v>
      </c>
      <c r="M36" t="str">
        <f>IF(OR(B36="",Resumen!H32="Retired"),"",CONCATENATE(K36," - ",L36))</f>
        <v>Baja - Media</v>
      </c>
      <c r="N36"/>
      <c r="O36"/>
      <c r="P36"/>
    </row>
    <row r="37" spans="1:16" x14ac:dyDescent="0.2">
      <c r="B37" s="60" t="str">
        <f>Resumen!A33</f>
        <v>RG_022</v>
      </c>
      <c r="C37" s="51" t="str">
        <f>IF(B37="","",CONCATENATE(I37,"-",Resumen!C33))</f>
        <v>R-S</v>
      </c>
      <c r="D37" s="51" t="str">
        <f t="shared" si="1"/>
        <v>R-M</v>
      </c>
      <c r="E37" s="51" t="str">
        <f>IF($B37="","",CONCATENATE(I37,"-",Resumen!H33))</f>
        <v>R-Prevenir</v>
      </c>
      <c r="F37" s="51" t="str">
        <f t="shared" si="0"/>
        <v>R-Abierto</v>
      </c>
      <c r="G37" s="51" t="str">
        <f>IF(Resumen!H33="Retirar","Cerrado","Abierto")</f>
        <v>Abierto</v>
      </c>
      <c r="H37" s="9" t="str">
        <f>IF($B$16="","",IF(OR(ISBLANK('Detalle del Riesgo'!F557),ISTEXT('Detalle del Riesgo'!F557)),"",IF($H$15-'Detalle del Riesgo'!F557&gt;$H$14,"Not Modified","M")))</f>
        <v>M</v>
      </c>
      <c r="I37" s="10" t="str">
        <f>'Detalle del Riesgo'!D552</f>
        <v>R</v>
      </c>
      <c r="J37"/>
      <c r="K37" t="str">
        <f>'Detalle del Riesgo'!C555</f>
        <v>Alta</v>
      </c>
      <c r="L37" t="str">
        <f>'Detalle del Riesgo'!$C556</f>
        <v>Alta</v>
      </c>
      <c r="M37" t="str">
        <f>IF(OR(B37="",Resumen!H33="Retired"),"",CONCATENATE(K37," - ",L37))</f>
        <v>Alta - Alta</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YEMISI CRUZ</cp:lastModifiedBy>
  <cp:lastPrinted>2007-01-10T23:08:00Z</cp:lastPrinted>
  <dcterms:created xsi:type="dcterms:W3CDTF">2006-10-01T23:23:18Z</dcterms:created>
  <dcterms:modified xsi:type="dcterms:W3CDTF">2017-06-17T20:56:03Z</dcterms:modified>
</cp:coreProperties>
</file>