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DA\PP-PT-PMHDT\Tuần 3\"/>
    </mc:Choice>
  </mc:AlternateContent>
  <xr:revisionPtr revIDLastSave="0" documentId="13_ncr:1_{A10A326D-8346-438E-B960-4B9F4E7E86D0}" xr6:coauthVersionLast="47" xr6:coauthVersionMax="47" xr10:uidLastSave="{00000000-0000-0000-0000-000000000000}"/>
  <bookViews>
    <workbookView xWindow="2240" yWindow="2240" windowWidth="19200" windowHeight="11170" xr2:uid="{78821362-EF81-49C4-AB62-BC2BDDB37C4A}"/>
  </bookViews>
  <sheets>
    <sheet name="Bai9" sheetId="11" r:id="rId1"/>
    <sheet name="Bai8" sheetId="10" r:id="rId2"/>
    <sheet name="Bai7" sheetId="9" r:id="rId3"/>
    <sheet name="Bai6" sheetId="7" r:id="rId4"/>
    <sheet name="Bai5" sheetId="6" r:id="rId5"/>
    <sheet name="Bai4" sheetId="5" r:id="rId6"/>
    <sheet name="Bai3" sheetId="3" r:id="rId7"/>
    <sheet name="Bai2" sheetId="2" r:id="rId8"/>
    <sheet name="Bai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22" i="11" l="1"/>
  <c r="F15" i="11"/>
  <c r="E15" i="11"/>
  <c r="B16" i="11"/>
  <c r="B5" i="11"/>
  <c r="D15" i="10"/>
  <c r="D10" i="10"/>
  <c r="D11" i="10"/>
  <c r="D12" i="10"/>
  <c r="D13" i="10"/>
  <c r="D2" i="10"/>
  <c r="C3" i="10"/>
  <c r="D3" i="10" s="1"/>
  <c r="C4" i="10"/>
  <c r="D4" i="10" s="1"/>
  <c r="C5" i="10"/>
  <c r="D5" i="10" s="1"/>
  <c r="C6" i="10"/>
  <c r="D6" i="10" s="1"/>
  <c r="C7" i="10"/>
  <c r="D7" i="10" s="1"/>
  <c r="C8" i="10"/>
  <c r="D8" i="10" s="1"/>
  <c r="C9" i="10"/>
  <c r="D9" i="10" s="1"/>
  <c r="C10" i="10"/>
  <c r="C11" i="10"/>
  <c r="C12" i="10"/>
  <c r="C13" i="10"/>
  <c r="C2" i="10"/>
  <c r="H23" i="9"/>
  <c r="B23" i="9"/>
  <c r="H27" i="9"/>
  <c r="H26" i="9"/>
  <c r="H25" i="9"/>
  <c r="H24" i="9"/>
  <c r="H12" i="9"/>
  <c r="H13" i="9"/>
  <c r="H14" i="9"/>
  <c r="H15" i="9"/>
  <c r="H16" i="9"/>
  <c r="B13" i="9"/>
  <c r="B12" i="9"/>
  <c r="C10" i="7" a="1"/>
  <c r="C10" i="7" s="1"/>
  <c r="C5" i="7" a="1"/>
  <c r="C5" i="7" s="1"/>
  <c r="D5" i="7" s="1"/>
  <c r="C6" i="7" a="1"/>
  <c r="C6" i="7" s="1"/>
  <c r="D6" i="7" s="1"/>
  <c r="D5" i="6"/>
  <c r="B13" i="6" s="1"/>
  <c r="D6" i="6"/>
  <c r="D7" i="6"/>
  <c r="D8" i="6"/>
  <c r="D9" i="6"/>
  <c r="D10" i="6"/>
  <c r="F10" i="6"/>
  <c r="F9" i="6"/>
  <c r="F8" i="6"/>
  <c r="F7" i="6"/>
  <c r="F6" i="6"/>
  <c r="F5" i="6"/>
  <c r="D16" i="5"/>
  <c r="C6" i="5"/>
  <c r="C7" i="5"/>
  <c r="C8" i="5"/>
  <c r="C9" i="5"/>
  <c r="C10" i="5"/>
  <c r="C11" i="5"/>
  <c r="C12" i="5"/>
  <c r="C13" i="5"/>
  <c r="C16" i="5" a="1"/>
  <c r="C16" i="5" s="1"/>
  <c r="B16" i="5"/>
  <c r="D12" i="5"/>
  <c r="E12" i="5" s="1"/>
  <c r="D13" i="5"/>
  <c r="E13" i="5" s="1"/>
  <c r="H5" i="2"/>
  <c r="D5" i="5"/>
  <c r="E5" i="5" s="1"/>
  <c r="F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C5" i="5"/>
  <c r="B29" i="3"/>
  <c r="C15" i="3"/>
  <c r="C16" i="3" s="1"/>
  <c r="C17" i="3" s="1"/>
  <c r="C18" i="3" s="1"/>
  <c r="C19" i="3" s="1"/>
  <c r="F27" i="2"/>
  <c r="D30" i="2"/>
  <c r="E6" i="2"/>
  <c r="D21" i="2"/>
  <c r="E21" i="2"/>
  <c r="D22" i="2"/>
  <c r="E22" i="2"/>
  <c r="D9" i="2"/>
  <c r="D10" i="2"/>
  <c r="E9" i="2"/>
  <c r="E10" i="2"/>
  <c r="E23" i="2"/>
  <c r="D23" i="2"/>
  <c r="E20" i="2"/>
  <c r="D20" i="2"/>
  <c r="E19" i="2"/>
  <c r="D19" i="2"/>
  <c r="E18" i="2"/>
  <c r="D18" i="2"/>
  <c r="E17" i="2"/>
  <c r="D17" i="2"/>
  <c r="E16" i="2"/>
  <c r="D16" i="2"/>
  <c r="E12" i="2"/>
  <c r="D12" i="2"/>
  <c r="E11" i="2"/>
  <c r="D11" i="2"/>
  <c r="E8" i="2"/>
  <c r="D8" i="2"/>
  <c r="F8" i="2" s="1"/>
  <c r="E7" i="2"/>
  <c r="D7" i="2"/>
  <c r="F7" i="2" s="1"/>
  <c r="D6" i="2"/>
  <c r="E5" i="2"/>
  <c r="B27" i="2" s="1"/>
  <c r="D5" i="2"/>
  <c r="G5" i="2" s="1"/>
  <c r="D23" i="1"/>
  <c r="E23" i="1"/>
  <c r="C26" i="1"/>
  <c r="G23" i="1"/>
  <c r="E14" i="1"/>
  <c r="E15" i="1"/>
  <c r="E16" i="1"/>
  <c r="E17" i="1"/>
  <c r="E18" i="1"/>
  <c r="E19" i="1"/>
  <c r="D14" i="1"/>
  <c r="G14" i="1" s="1"/>
  <c r="D15" i="1"/>
  <c r="D16" i="1"/>
  <c r="D17" i="1"/>
  <c r="D18" i="1"/>
  <c r="D19" i="1"/>
  <c r="G26" i="1" s="1"/>
  <c r="E7" i="1"/>
  <c r="E6" i="1"/>
  <c r="E5" i="1"/>
  <c r="B23" i="1" s="1"/>
  <c r="E8" i="1"/>
  <c r="E9" i="1"/>
  <c r="E10" i="1"/>
  <c r="D5" i="1"/>
  <c r="G5" i="1" s="1"/>
  <c r="D6" i="1"/>
  <c r="D7" i="1"/>
  <c r="D8" i="1"/>
  <c r="D9" i="1"/>
  <c r="D10" i="1"/>
  <c r="C16" i="11" l="1"/>
  <c r="E16" i="11" s="1"/>
  <c r="D14" i="10"/>
  <c r="E5" i="6"/>
  <c r="E6" i="6" s="1"/>
  <c r="E7" i="6" s="1"/>
  <c r="E8" i="6" s="1"/>
  <c r="E9" i="6" s="1"/>
  <c r="E10" i="6" s="1"/>
  <c r="G5" i="6"/>
  <c r="H5" i="6" s="1"/>
  <c r="G6" i="6"/>
  <c r="G7" i="6"/>
  <c r="G8" i="6"/>
  <c r="E5" i="7"/>
  <c r="E6" i="7"/>
  <c r="E7" i="7"/>
  <c r="B10" i="7" s="1"/>
  <c r="C13" i="6" a="1"/>
  <c r="C13" i="6" s="1"/>
  <c r="G9" i="6"/>
  <c r="G10" i="6"/>
  <c r="H6" i="6"/>
  <c r="F6" i="5"/>
  <c r="F7" i="5" s="1"/>
  <c r="F8" i="5" s="1"/>
  <c r="F9" i="5" s="1"/>
  <c r="F10" i="5" s="1"/>
  <c r="F11" i="5" s="1"/>
  <c r="F12" i="5" s="1"/>
  <c r="F13" i="5" s="1"/>
  <c r="B26" i="3"/>
  <c r="C30" i="2"/>
  <c r="B30" i="2"/>
  <c r="F5" i="2"/>
  <c r="F23" i="2"/>
  <c r="F21" i="2"/>
  <c r="F22" i="2"/>
  <c r="G30" i="2"/>
  <c r="F10" i="2"/>
  <c r="F12" i="2"/>
  <c r="F9" i="2"/>
  <c r="F20" i="2"/>
  <c r="F18" i="2"/>
  <c r="F19" i="2"/>
  <c r="F11" i="2"/>
  <c r="F17" i="2"/>
  <c r="F6" i="2"/>
  <c r="G6" i="2"/>
  <c r="G7" i="2" s="1"/>
  <c r="G8" i="2" s="1"/>
  <c r="G9" i="2" s="1"/>
  <c r="G10" i="2" s="1"/>
  <c r="G11" i="2" s="1"/>
  <c r="G12" i="2" s="1"/>
  <c r="H27" i="2" a="1"/>
  <c r="H27" i="2" s="1"/>
  <c r="F16" i="2"/>
  <c r="H16" i="2" s="1"/>
  <c r="G16" i="2"/>
  <c r="G17" i="2" s="1"/>
  <c r="G18" i="2" s="1"/>
  <c r="G19" i="2" s="1"/>
  <c r="G20" i="2" s="1"/>
  <c r="G21" i="2" s="1"/>
  <c r="G22" i="2" s="1"/>
  <c r="G23" i="2" s="1"/>
  <c r="G27" i="2"/>
  <c r="C27" i="2"/>
  <c r="D27" i="2" s="1"/>
  <c r="B26" i="1"/>
  <c r="C23" i="1"/>
  <c r="F26" i="1"/>
  <c r="F16" i="1"/>
  <c r="G6" i="1"/>
  <c r="G7" i="1" s="1"/>
  <c r="G8" i="1" s="1"/>
  <c r="G9" i="1" s="1"/>
  <c r="G10" i="1" s="1"/>
  <c r="G15" i="1"/>
  <c r="G16" i="1" s="1"/>
  <c r="G17" i="1" s="1"/>
  <c r="G18" i="1" s="1"/>
  <c r="G19" i="1" s="1"/>
  <c r="F18" i="1"/>
  <c r="F15" i="1"/>
  <c r="F17" i="1"/>
  <c r="F7" i="1"/>
  <c r="F6" i="1"/>
  <c r="F10" i="1"/>
  <c r="F8" i="1"/>
  <c r="F14" i="1"/>
  <c r="H14" i="1" s="1"/>
  <c r="F19" i="1"/>
  <c r="F9" i="1"/>
  <c r="F5" i="1"/>
  <c r="H5" i="1" s="1"/>
  <c r="H7" i="6" l="1"/>
  <c r="H8" i="6" s="1"/>
  <c r="H9" i="6" s="1"/>
  <c r="H10" i="6" s="1"/>
  <c r="D13" i="6" a="1"/>
  <c r="D13" i="6" s="1"/>
  <c r="H17" i="2"/>
  <c r="H18" i="2" s="1"/>
  <c r="H19" i="2" s="1"/>
  <c r="H20" i="2" s="1"/>
  <c r="H21" i="2" s="1"/>
  <c r="H22" i="2" s="1"/>
  <c r="H23" i="2" s="1"/>
  <c r="H6" i="2"/>
  <c r="H7" i="2" s="1"/>
  <c r="H8" i="2" s="1"/>
  <c r="H9" i="2" s="1"/>
  <c r="H10" i="2" s="1"/>
  <c r="H11" i="2" s="1"/>
  <c r="H12" i="2" s="1"/>
  <c r="E30" i="2"/>
  <c r="E27" i="2"/>
  <c r="F30" i="2"/>
  <c r="I27" i="2" a="1"/>
  <c r="I27" i="2" s="1"/>
  <c r="D26" i="1"/>
  <c r="E26" i="1" s="1"/>
  <c r="H23" i="1" a="1"/>
  <c r="H23" i="1" s="1"/>
  <c r="H26" i="1" a="1"/>
  <c r="H26" i="1" s="1"/>
  <c r="F23" i="1"/>
  <c r="H15" i="1"/>
  <c r="H16" i="1" s="1"/>
  <c r="H17" i="1" s="1"/>
  <c r="H18" i="1" s="1"/>
  <c r="H19" i="1" s="1"/>
  <c r="H6" i="1"/>
  <c r="H7" i="1" s="1"/>
  <c r="H8" i="1" s="1"/>
  <c r="H9" i="1" s="1"/>
  <c r="H10" i="1" s="1"/>
  <c r="C29" i="3" l="1" a="1"/>
  <c r="C29" i="3" s="1"/>
  <c r="D29" i="3" a="1"/>
  <c r="D29" i="3" s="1"/>
  <c r="D26" i="3" a="1"/>
  <c r="D26" i="3" s="1"/>
  <c r="H30" i="2" a="1"/>
  <c r="H30" i="2" s="1"/>
  <c r="I30" i="2" a="1"/>
  <c r="I30" i="2" s="1"/>
  <c r="I26" i="1" a="1"/>
  <c r="I26" i="1" s="1"/>
  <c r="I23" i="1" a="1"/>
  <c r="I23" i="1" s="1"/>
  <c r="C5" i="3"/>
  <c r="C6" i="3" s="1"/>
  <c r="C7" i="3" l="1"/>
  <c r="C8" i="3" s="1"/>
  <c r="C26" i="3" l="1" a="1"/>
  <c r="C26" i="3" s="1"/>
  <c r="C5" i="11"/>
  <c r="E5" i="11" s="1"/>
  <c r="F5" i="11" s="1"/>
  <c r="B6" i="11" s="1"/>
  <c r="C6" i="11" l="1"/>
  <c r="E6" i="11" s="1"/>
  <c r="F6" i="11" s="1"/>
  <c r="B7" i="11" s="1"/>
  <c r="C7" i="11" s="1"/>
  <c r="E7" i="11" s="1"/>
  <c r="F7" i="11" s="1"/>
  <c r="B8" i="11" s="1"/>
  <c r="C8" i="11" s="1"/>
  <c r="E8" i="11" s="1"/>
  <c r="F8" i="11" s="1"/>
  <c r="B9" i="11" s="1"/>
  <c r="C9" i="11" l="1"/>
  <c r="E9" i="11" s="1"/>
  <c r="F9" i="11" s="1"/>
  <c r="B10" i="11" l="1"/>
  <c r="C10" i="11" l="1"/>
  <c r="E10" i="11" s="1"/>
  <c r="F10" i="11" s="1"/>
  <c r="B11" i="11" s="1"/>
  <c r="C11" i="11" l="1"/>
  <c r="E11" i="11" s="1"/>
  <c r="F11" i="11" s="1"/>
  <c r="B15" i="11" l="1"/>
  <c r="C15" i="11" s="1"/>
  <c r="B22" i="11"/>
  <c r="D16" i="11" l="1"/>
  <c r="F16" i="11" s="1"/>
  <c r="B17" i="11" s="1"/>
  <c r="C17" i="11" s="1"/>
  <c r="E17" i="11" s="1"/>
  <c r="D17" i="11"/>
  <c r="D18" i="11"/>
  <c r="D19" i="11"/>
  <c r="D15" i="11"/>
  <c r="F17" i="11" l="1"/>
  <c r="B18" i="11" s="1"/>
  <c r="C18" i="11" s="1"/>
  <c r="E18" i="11" l="1"/>
  <c r="F18" i="11" s="1"/>
  <c r="B19" i="11" s="1"/>
  <c r="C19" i="11" s="1"/>
  <c r="E19" i="11" l="1"/>
  <c r="F19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<sst xmlns="http://schemas.openxmlformats.org/spreadsheetml/2006/main" count="215" uniqueCount="83">
  <si>
    <t>Năm</t>
  </si>
  <si>
    <t>Dự án 1</t>
  </si>
  <si>
    <t>Dự án 2</t>
  </si>
  <si>
    <t>Lãi xuất
tỷ lệ chiết khấu r</t>
  </si>
  <si>
    <r>
      <t>Đầu tư
(Chi phí C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)</t>
    </r>
  </si>
  <si>
    <r>
      <t>Lợi nhuận
(Lợi ích B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)</t>
    </r>
  </si>
  <si>
    <r>
      <t>Dòng tiền thuần tại giai đoạn t (lãi/lỗ)
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=C</t>
    </r>
    <r>
      <rPr>
        <vertAlign val="subscript"/>
        <sz val="13"/>
        <color theme="1"/>
        <rFont val="Times New Roman"/>
        <family val="1"/>
      </rPr>
      <t xml:space="preserve">t- </t>
    </r>
    <r>
      <rPr>
        <sz val="13"/>
        <color theme="1"/>
        <rFont val="Times New Roman"/>
        <family val="1"/>
      </rPr>
      <t xml:space="preserve"> B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</t>
    </r>
  </si>
  <si>
    <r>
      <t>Hệ số chiết khấu ​tại năm t
1/ (1+r)</t>
    </r>
    <r>
      <rPr>
        <vertAlign val="superscript"/>
        <sz val="13"/>
        <color theme="1"/>
        <rFont val="Times New Roman"/>
        <family val="1"/>
      </rPr>
      <t>t</t>
    </r>
  </si>
  <si>
    <r>
      <t>Giá trị hiện tại: 
PV(CF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)= 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/(1+r)</t>
    </r>
    <r>
      <rPr>
        <vertAlign val="superscript"/>
        <sz val="13"/>
        <color theme="1"/>
        <rFont val="Times New Roman"/>
        <family val="1"/>
      </rPr>
      <t>t</t>
    </r>
  </si>
  <si>
    <r>
      <t>Dòng tiền thuần tại giai đoạn t
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= C</t>
    </r>
    <r>
      <rPr>
        <vertAlign val="subscript"/>
        <sz val="13"/>
        <color theme="1"/>
        <rFont val="Times New Roman"/>
        <family val="1"/>
      </rPr>
      <t>t-</t>
    </r>
    <r>
      <rPr>
        <sz val="13"/>
        <color theme="1"/>
        <rFont val="Times New Roman"/>
        <family val="1"/>
      </rPr>
      <t xml:space="preserve">  B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</t>
    </r>
  </si>
  <si>
    <r>
      <t>Lũy kế CF
(Không chiết khấu)
∑</t>
    </r>
    <r>
      <rPr>
        <vertAlign val="super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CF</t>
    </r>
    <r>
      <rPr>
        <vertAlign val="subscript"/>
        <sz val="13"/>
        <color theme="1"/>
        <rFont val="Times New Roman"/>
        <family val="1"/>
      </rPr>
      <t xml:space="preserve">t
</t>
    </r>
    <r>
      <rPr>
        <vertAlign val="superscript"/>
        <sz val="13"/>
        <color theme="1"/>
        <rFont val="Times New Roman"/>
        <family val="1"/>
      </rPr>
      <t>i=0</t>
    </r>
    <r>
      <rPr>
        <sz val="13"/>
        <color theme="1"/>
        <rFont val="Times New Roman"/>
        <family val="1"/>
      </rPr>
      <t xml:space="preserve"> </t>
    </r>
  </si>
  <si>
    <r>
      <t>Lũy kế PV CF
(Có chiết khấu)
∑</t>
    </r>
    <r>
      <rPr>
        <vertAlign val="superscript"/>
        <sz val="13"/>
        <color theme="1"/>
        <rFont val="Times New Roman"/>
        <family val="1"/>
      </rPr>
      <t xml:space="preserve">t </t>
    </r>
    <r>
      <rPr>
        <sz val="13"/>
        <color theme="1"/>
        <rFont val="Times New Roman"/>
        <family val="1"/>
      </rPr>
      <t>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/(1+r)</t>
    </r>
    <r>
      <rPr>
        <vertAlign val="superscript"/>
        <sz val="13"/>
        <color theme="1"/>
        <rFont val="Times New Roman"/>
        <family val="1"/>
      </rPr>
      <t xml:space="preserve">i
</t>
    </r>
    <r>
      <rPr>
        <vertAlign val="subscript"/>
        <sz val="13"/>
        <color theme="1"/>
        <rFont val="Times New Roman"/>
        <family val="1"/>
      </rPr>
      <t>i=0</t>
    </r>
    <r>
      <rPr>
        <sz val="13"/>
        <color theme="1"/>
        <rFont val="Times New Roman"/>
        <family val="1"/>
      </rPr>
      <t xml:space="preserve"> </t>
    </r>
  </si>
  <si>
    <r>
      <t>Lũy kế CF
(Không chiết khấu)
∑</t>
    </r>
    <r>
      <rPr>
        <vertAlign val="super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CF</t>
    </r>
    <r>
      <rPr>
        <vertAlign val="subscript"/>
        <sz val="13"/>
        <color theme="1"/>
        <rFont val="Times New Roman"/>
        <family val="1"/>
      </rPr>
      <t xml:space="preserve">i
</t>
    </r>
    <r>
      <rPr>
        <vertAlign val="superscript"/>
        <sz val="13"/>
        <color theme="1"/>
        <rFont val="Times New Roman"/>
        <family val="1"/>
      </rPr>
      <t>i=0</t>
    </r>
    <r>
      <rPr>
        <sz val="13"/>
        <color theme="1"/>
        <rFont val="Times New Roman"/>
        <family val="1"/>
      </rPr>
      <t xml:space="preserve"> </t>
    </r>
  </si>
  <si>
    <r>
      <t>PV(B)= ∑</t>
    </r>
    <r>
      <rPr>
        <vertAlign val="super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 xml:space="preserve">t=0 </t>
    </r>
    <r>
      <rPr>
        <sz val="13"/>
        <color theme="1"/>
        <rFont val="Times New Roman"/>
        <family val="1"/>
      </rPr>
      <t xml:space="preserve"> B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/(1+r)</t>
    </r>
    <r>
      <rPr>
        <vertAlign val="super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
</t>
    </r>
  </si>
  <si>
    <r>
      <t>PV(C)= ∑</t>
    </r>
    <r>
      <rPr>
        <vertAlign val="super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t=0</t>
    </r>
    <r>
      <rPr>
        <sz val="13"/>
        <color theme="1"/>
        <rFont val="Times New Roman"/>
        <family val="1"/>
      </rPr>
      <t xml:space="preserve">  C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/(1+r)</t>
    </r>
    <r>
      <rPr>
        <vertAlign val="superscript"/>
        <sz val="13"/>
        <color theme="1"/>
        <rFont val="Times New Roman"/>
        <family val="1"/>
      </rPr>
      <t>t</t>
    </r>
  </si>
  <si>
    <t>a) Giá trị hiện tại thuần
NPV= PV(B)-PV(C)</t>
  </si>
  <si>
    <t>Payback năm 
(không chiết khấu)</t>
  </si>
  <si>
    <t>Discoundted Payback</t>
  </si>
  <si>
    <t>Kết quả</t>
  </si>
  <si>
    <t>Dự án</t>
  </si>
  <si>
    <r>
      <t>Tỷ suất nội hoàn
0=∑</t>
    </r>
    <r>
      <rPr>
        <vertAlign val="super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CF</t>
    </r>
    <r>
      <rPr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/(1+IRR)</t>
    </r>
    <r>
      <rPr>
        <vertAlign val="super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
     i=0 </t>
    </r>
  </si>
  <si>
    <r>
      <t>PV(B)= ∑</t>
    </r>
    <r>
      <rPr>
        <vertAlign val="superscript"/>
        <sz val="11"/>
        <color theme="1"/>
        <rFont val="Calibri"/>
        <family val="1"/>
        <scheme val="minor"/>
      </rPr>
      <t>t</t>
    </r>
    <r>
      <rPr>
        <vertAlign val="subscript"/>
        <sz val="11"/>
        <color theme="1"/>
        <rFont val="Calibri"/>
        <family val="1"/>
        <scheme val="minor"/>
      </rPr>
      <t xml:space="preserve">t=0 </t>
    </r>
    <r>
      <rPr>
        <sz val="11"/>
        <color theme="1"/>
        <rFont val="Calibri"/>
        <family val="1"/>
        <scheme val="minor"/>
      </rPr>
      <t xml:space="preserve"> B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/(1+r)</t>
    </r>
    <r>
      <rPr>
        <vertAlign val="super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 xml:space="preserve">
</t>
    </r>
  </si>
  <si>
    <r>
      <t>PV(C)= ∑</t>
    </r>
    <r>
      <rPr>
        <vertAlign val="superscript"/>
        <sz val="11"/>
        <color theme="1"/>
        <rFont val="Calibri"/>
        <family val="1"/>
        <scheme val="minor"/>
      </rPr>
      <t>t</t>
    </r>
    <r>
      <rPr>
        <vertAlign val="subscript"/>
        <sz val="11"/>
        <color theme="1"/>
        <rFont val="Calibri"/>
        <family val="1"/>
        <scheme val="minor"/>
      </rPr>
      <t>t=0</t>
    </r>
    <r>
      <rPr>
        <sz val="11"/>
        <color theme="1"/>
        <rFont val="Calibri"/>
        <family val="1"/>
        <scheme val="minor"/>
      </rPr>
      <t xml:space="preserve">  C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/(1+r)</t>
    </r>
    <r>
      <rPr>
        <vertAlign val="superscript"/>
        <sz val="11"/>
        <color theme="1"/>
        <rFont val="Calibri"/>
        <family val="1"/>
        <scheme val="minor"/>
      </rPr>
      <t>t</t>
    </r>
  </si>
  <si>
    <r>
      <t>Tỷ suất nội hoàn
0=∑</t>
    </r>
    <r>
      <rPr>
        <vertAlign val="super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 xml:space="preserve"> CF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/(1+IRR)</t>
    </r>
    <r>
      <rPr>
        <vertAlign val="super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 xml:space="preserve">
     i=0 </t>
    </r>
  </si>
  <si>
    <t>Chỉ số lợi ích/chi phí
=PV(B)/PV©</t>
  </si>
  <si>
    <t>b) Lợi nhuận trên một đơn vị tiền tệ đầu tư
NPV/PV(C)</t>
  </si>
  <si>
    <t>Chỉ số lợi ích/chi phí
=PV(B)/PV(C)</t>
  </si>
  <si>
    <t>b) Lợi nhuận trên một 
đơn vị tiền tệ đầu tư
NPV/PV©</t>
  </si>
  <si>
    <t>Lợi nhuận
(Lợi ích Bt)</t>
  </si>
  <si>
    <t>Đầu tư
(Chi phí Ct)</t>
  </si>
  <si>
    <t>Dự án A</t>
  </si>
  <si>
    <t>Dự án B</t>
  </si>
  <si>
    <r>
      <t>PV(B)= ∑</t>
    </r>
    <r>
      <rPr>
        <b/>
        <vertAlign val="superscript"/>
        <sz val="13"/>
        <color theme="0"/>
        <rFont val="Times New Roman"/>
        <family val="1"/>
      </rPr>
      <t>t</t>
    </r>
    <r>
      <rPr>
        <b/>
        <vertAlign val="subscript"/>
        <sz val="13"/>
        <color theme="0"/>
        <rFont val="Times New Roman"/>
        <family val="1"/>
      </rPr>
      <t xml:space="preserve">t=0 </t>
    </r>
    <r>
      <rPr>
        <b/>
        <sz val="13"/>
        <color theme="0"/>
        <rFont val="Times New Roman"/>
        <family val="1"/>
      </rPr>
      <t xml:space="preserve"> B</t>
    </r>
    <r>
      <rPr>
        <b/>
        <vertAlign val="subscript"/>
        <sz val="13"/>
        <color theme="0"/>
        <rFont val="Times New Roman"/>
        <family val="1"/>
      </rPr>
      <t>t</t>
    </r>
    <r>
      <rPr>
        <b/>
        <sz val="13"/>
        <color theme="0"/>
        <rFont val="Times New Roman"/>
        <family val="1"/>
      </rPr>
      <t>/(1+r)</t>
    </r>
    <r>
      <rPr>
        <b/>
        <vertAlign val="superscript"/>
        <sz val="13"/>
        <color theme="0"/>
        <rFont val="Times New Roman"/>
        <family val="1"/>
      </rPr>
      <t>t</t>
    </r>
    <r>
      <rPr>
        <b/>
        <sz val="13"/>
        <color theme="0"/>
        <rFont val="Times New Roman"/>
        <family val="1"/>
      </rPr>
      <t xml:space="preserve">
</t>
    </r>
  </si>
  <si>
    <r>
      <t>PV(B)= ∑</t>
    </r>
    <r>
      <rPr>
        <vertAlign val="superscript"/>
        <sz val="11"/>
        <color theme="0"/>
        <rFont val="Calibri"/>
        <family val="1"/>
        <scheme val="minor"/>
      </rPr>
      <t>t</t>
    </r>
    <r>
      <rPr>
        <vertAlign val="subscript"/>
        <sz val="11"/>
        <color theme="0"/>
        <rFont val="Calibri"/>
        <family val="1"/>
        <scheme val="minor"/>
      </rPr>
      <t xml:space="preserve">t=0 </t>
    </r>
    <r>
      <rPr>
        <sz val="11"/>
        <color theme="0"/>
        <rFont val="Calibri"/>
        <family val="1"/>
        <scheme val="minor"/>
      </rPr>
      <t xml:space="preserve"> B</t>
    </r>
    <r>
      <rPr>
        <vertAlign val="subscript"/>
        <sz val="11"/>
        <color theme="0"/>
        <rFont val="Calibri"/>
        <family val="1"/>
        <scheme val="minor"/>
      </rPr>
      <t>t</t>
    </r>
    <r>
      <rPr>
        <sz val="11"/>
        <color theme="0"/>
        <rFont val="Calibri"/>
        <family val="1"/>
        <scheme val="minor"/>
      </rPr>
      <t>/(1+r)</t>
    </r>
    <r>
      <rPr>
        <vertAlign val="superscript"/>
        <sz val="11"/>
        <color theme="0"/>
        <rFont val="Calibri"/>
        <family val="1"/>
        <scheme val="minor"/>
      </rPr>
      <t>t</t>
    </r>
    <r>
      <rPr>
        <sz val="11"/>
        <color theme="0"/>
        <rFont val="Calibri"/>
        <family val="1"/>
        <scheme val="minor"/>
      </rPr>
      <t xml:space="preserve">
</t>
    </r>
  </si>
  <si>
    <t>Column1</t>
  </si>
  <si>
    <r>
      <t>Dòng tiền thuần tại giai đoạn t (lãi/lỗ)
CF</t>
    </r>
    <r>
      <rPr>
        <vertAlign val="subscript"/>
        <sz val="13"/>
        <color theme="1"/>
        <rFont val="Times New Roman"/>
        <family val="1"/>
      </rPr>
      <t>t</t>
    </r>
  </si>
  <si>
    <r>
      <t>Dòng tiền thuần tại giai đoạn t (lãi/lỗ)
CF</t>
    </r>
    <r>
      <rPr>
        <vertAlign val="subscript"/>
        <sz val="13"/>
        <color theme="0"/>
        <rFont val="Times New Roman"/>
        <family val="1"/>
      </rPr>
      <t>t</t>
    </r>
  </si>
  <si>
    <r>
      <t>Lũy kế CF
(Không chiết khấu)
∑</t>
    </r>
    <r>
      <rPr>
        <vertAlign val="superscript"/>
        <sz val="13"/>
        <color theme="0"/>
        <rFont val="Times New Roman"/>
        <family val="1"/>
      </rPr>
      <t>t</t>
    </r>
    <r>
      <rPr>
        <sz val="13"/>
        <color theme="0"/>
        <rFont val="Times New Roman"/>
        <family val="1"/>
      </rPr>
      <t xml:space="preserve"> CF</t>
    </r>
    <r>
      <rPr>
        <vertAlign val="subscript"/>
        <sz val="13"/>
        <color theme="0"/>
        <rFont val="Times New Roman"/>
        <family val="1"/>
      </rPr>
      <t xml:space="preserve">i
</t>
    </r>
    <r>
      <rPr>
        <vertAlign val="superscript"/>
        <sz val="13"/>
        <color theme="0"/>
        <rFont val="Times New Roman"/>
        <family val="1"/>
      </rPr>
      <t>i=0</t>
    </r>
    <r>
      <rPr>
        <sz val="13"/>
        <color theme="0"/>
        <rFont val="Times New Roman"/>
        <family val="1"/>
      </rPr>
      <t xml:space="preserve"> </t>
    </r>
  </si>
  <si>
    <r>
      <t>Hệ số chiết khấu ​tại năm t
1/ (1+r)</t>
    </r>
    <r>
      <rPr>
        <vertAlign val="superscript"/>
        <sz val="11"/>
        <color theme="1"/>
        <rFont val="Calibri"/>
        <family val="1"/>
        <scheme val="minor"/>
      </rPr>
      <t>t</t>
    </r>
  </si>
  <si>
    <r>
      <t>Giá trị hiện tại: 
PV(CF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)= CF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/(1+r)</t>
    </r>
    <r>
      <rPr>
        <vertAlign val="superscript"/>
        <sz val="11"/>
        <color theme="1"/>
        <rFont val="Calibri"/>
        <family val="1"/>
        <scheme val="minor"/>
      </rPr>
      <t>t</t>
    </r>
  </si>
  <si>
    <r>
      <t>Lũy kế PV CF
(Có chiết khấu)
∑</t>
    </r>
    <r>
      <rPr>
        <vertAlign val="superscript"/>
        <sz val="11"/>
        <color theme="1"/>
        <rFont val="Calibri"/>
        <family val="1"/>
        <scheme val="minor"/>
      </rPr>
      <t xml:space="preserve">t </t>
    </r>
    <r>
      <rPr>
        <sz val="11"/>
        <color theme="1"/>
        <rFont val="Calibri"/>
        <family val="1"/>
        <scheme val="minor"/>
      </rPr>
      <t>CF</t>
    </r>
    <r>
      <rPr>
        <vertAlign val="subscript"/>
        <sz val="11"/>
        <color theme="1"/>
        <rFont val="Calibri"/>
        <family val="1"/>
        <scheme val="minor"/>
      </rPr>
      <t>t</t>
    </r>
    <r>
      <rPr>
        <sz val="11"/>
        <color theme="1"/>
        <rFont val="Calibri"/>
        <family val="1"/>
        <scheme val="minor"/>
      </rPr>
      <t>/(1+r)</t>
    </r>
    <r>
      <rPr>
        <vertAlign val="superscript"/>
        <sz val="11"/>
        <color theme="1"/>
        <rFont val="Calibri"/>
        <family val="1"/>
        <scheme val="minor"/>
      </rPr>
      <t xml:space="preserve">i
</t>
    </r>
    <r>
      <rPr>
        <vertAlign val="subscript"/>
        <sz val="11"/>
        <color theme="1"/>
        <rFont val="Calibri"/>
        <family val="1"/>
        <scheme val="minor"/>
      </rPr>
      <t>i=0</t>
    </r>
    <r>
      <rPr>
        <sz val="11"/>
        <color theme="1"/>
        <rFont val="Calibri"/>
        <family val="1"/>
        <scheme val="minor"/>
      </rPr>
      <t xml:space="preserve"> </t>
    </r>
  </si>
  <si>
    <t>Discounted Payback</t>
  </si>
  <si>
    <t>-</t>
  </si>
  <si>
    <t>Đơn vị Triệu VNĐ</t>
  </si>
  <si>
    <t xml:space="preserve">Năm trả gộp </t>
  </si>
  <si>
    <t>Khoảng cách thời gian 
(Δt = T−Year)</t>
  </si>
  <si>
    <r>
      <t>Hệ số tích lũy
 (1+r)</t>
    </r>
    <r>
      <rPr>
        <vertAlign val="superscript"/>
        <sz val="13"/>
        <color theme="1"/>
        <rFont val="Times New Roman"/>
        <family val="1"/>
      </rPr>
      <t>t</t>
    </r>
  </si>
  <si>
    <r>
      <t>GT quy đổi của dòng tiền trong tương lai
FV</t>
    </r>
    <r>
      <rPr>
        <b/>
        <vertAlign val="subscript"/>
        <sz val="13"/>
        <color theme="0"/>
        <rFont val="Times New Roman"/>
        <family val="1"/>
      </rPr>
      <t>t</t>
    </r>
    <r>
      <rPr>
        <b/>
        <sz val="13"/>
        <color theme="0"/>
        <rFont val="Times New Roman"/>
        <family val="1"/>
      </rPr>
      <t xml:space="preserve"> = CF * (1+ r)</t>
    </r>
    <r>
      <rPr>
        <b/>
        <vertAlign val="superscript"/>
        <sz val="13"/>
        <color theme="0"/>
        <rFont val="Times New Roman"/>
        <family val="1"/>
      </rPr>
      <t>t</t>
    </r>
  </si>
  <si>
    <t>Số tiền phải trả</t>
  </si>
  <si>
    <t>Tiêu chí</t>
  </si>
  <si>
    <t>Trọng số</t>
  </si>
  <si>
    <t>Dự án 3</t>
  </si>
  <si>
    <t>Dự án 4</t>
  </si>
  <si>
    <t>Dự án 5</t>
  </si>
  <si>
    <t>Nhà tài
trợ mạnh</t>
  </si>
  <si>
    <t>Hỗ trợ chiến 
lược kinh doanh</t>
  </si>
  <si>
    <t>Tính cấp 
thiết</t>
  </si>
  <si>
    <t>10% doanh số 
từ sản phẩm mới</t>
  </si>
  <si>
    <t>Cạnh tranh</t>
  </si>
  <si>
    <t>Lấp dầy khoảng trống thị trường</t>
  </si>
  <si>
    <t>Tổng trọng số</t>
  </si>
  <si>
    <t xml:space="preserve">Tính tổng điểm =     (Điểm * Trọng số) </t>
  </si>
  <si>
    <t xml:space="preserve">a) Kết luận được
Dự án 5 cao nhất 103
Dự án 2 thấp nhất 50 </t>
  </si>
  <si>
    <t xml:space="preserve">b) Trọng số cho “Nhà tài trợ mạnh” được thay đổi từ 2 thành 5
- Thì việc lựa chọn dự án cao nhất không thay đổi
- 3 dự án có trọng số cao nhất: dự án 5, 1, 3, </t>
  </si>
  <si>
    <t xml:space="preserve">Tháng </t>
  </si>
  <si>
    <t>Số tiền trả góp</t>
  </si>
  <si>
    <t xml:space="preserve">Hệ số chiết khấu </t>
  </si>
  <si>
    <t>Giá trị hiện tại 
(25 x Hệ số)</t>
  </si>
  <si>
    <t>Lãi r= 1.5%</t>
  </si>
  <si>
    <t>Tổng</t>
  </si>
  <si>
    <t>Số tiền phải trả ngay (đơn vị triệu VNĐ)</t>
  </si>
  <si>
    <t>Bảng tiến đã trả trong 7 năm</t>
  </si>
  <si>
    <t>Tiền lãi (12%)</t>
  </si>
  <si>
    <t>Khoản trả (10 triệu /năm)</t>
  </si>
  <si>
    <t>Tiền gốc trả</t>
  </si>
  <si>
    <t>Số dư đầu kỳ</t>
  </si>
  <si>
    <t>Số dư cuối kỳ</t>
  </si>
  <si>
    <t>Lãi/năm</t>
  </si>
  <si>
    <t>Bảng trả nợ dư trong 5 năm</t>
  </si>
  <si>
    <t xml:space="preserve">Khoản trả </t>
  </si>
  <si>
    <t xml:space="preserve">Khoản trả cố định (PMT) </t>
  </si>
  <si>
    <r>
      <rPr>
        <b/>
        <sz val="13"/>
        <color theme="1"/>
        <rFont val="Times New Roman"/>
        <family val="1"/>
      </rPr>
      <t xml:space="preserve">Ghi chú:
</t>
    </r>
    <r>
      <rPr>
        <sz val="13"/>
        <color theme="1"/>
        <rFont val="Times New Roman"/>
        <family val="1"/>
      </rPr>
      <t>Công thức tính Khoản trả cố định:</t>
    </r>
    <r>
      <rPr>
        <b/>
        <sz val="13"/>
        <color theme="1"/>
        <rFont val="Times New Roman"/>
        <family val="1"/>
      </rPr>
      <t xml:space="preserve"> =ABS(PMT($C$1, 5, $F$11, 0, 0))</t>
    </r>
    <r>
      <rPr>
        <sz val="13"/>
        <color theme="1"/>
        <rFont val="Times New Roman"/>
        <family val="1"/>
      </rPr>
      <t xml:space="preserve">
rate = $C$1 (12%/năm)
nper = 5 (5 năm)
pv = $F$11 (dư nợ cần tất toán)
fv = 0 (trả hết)
type = 0 (trả cuối năm)</t>
    </r>
  </si>
  <si>
    <t>Tổng tiền phải trả trong 5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</si>
</sst>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0.00000"/>
    <numFmt numFmtId="172" formatCode="0.0000"/>
    <numFmt numFmtId="175" formatCode="0.000000000"/>
    <numFmt numFmtId="17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1"/>
      <color theme="1"/>
      <name val="Calibri"/>
      <family val="1"/>
      <scheme val="minor"/>
    </font>
    <font>
      <vertAlign val="subscript"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13"/>
      <color theme="0"/>
      <name val="Times New Roman"/>
      <family val="1"/>
    </font>
    <font>
      <b/>
      <sz val="14"/>
      <color theme="0"/>
      <name val="Times New Roman"/>
      <family val="1"/>
    </font>
    <font>
      <b/>
      <vertAlign val="subscript"/>
      <sz val="13"/>
      <color theme="0"/>
      <name val="Times New Roman"/>
      <family val="1"/>
    </font>
    <font>
      <b/>
      <vertAlign val="superscript"/>
      <sz val="13"/>
      <color theme="0"/>
      <name val="Times New Roman"/>
      <family val="1"/>
    </font>
    <font>
      <vertAlign val="superscript"/>
      <sz val="11"/>
      <color theme="0"/>
      <name val="Calibri"/>
      <family val="1"/>
      <scheme val="minor"/>
    </font>
    <font>
      <vertAlign val="subscript"/>
      <sz val="11"/>
      <color theme="0"/>
      <name val="Calibri"/>
      <family val="1"/>
      <scheme val="minor"/>
    </font>
    <font>
      <sz val="11"/>
      <color theme="0"/>
      <name val="Calibri"/>
      <family val="1"/>
      <scheme val="minor"/>
    </font>
    <font>
      <sz val="13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3"/>
      <color theme="0"/>
      <name val="Times New Roman"/>
      <family val="1"/>
    </font>
    <font>
      <vertAlign val="superscript"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 style="thin">
        <color rgb="FF4472C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5" applyNumberFormat="0" applyFill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left" vertical="center" wrapText="1"/>
    </xf>
    <xf numFmtId="9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9" fontId="6" fillId="0" borderId="0" xfId="1" applyFont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left" vertical="center" wrapText="1"/>
    </xf>
    <xf numFmtId="2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9" fontId="6" fillId="0" borderId="1" xfId="1" applyFont="1" applyBorder="1" applyAlignment="1">
      <alignment horizontal="left" vertical="center"/>
    </xf>
    <xf numFmtId="9" fontId="6" fillId="0" borderId="0" xfId="2" applyNumberFormat="1" applyFont="1" applyAlignment="1">
      <alignment horizontal="left" vertical="center"/>
    </xf>
    <xf numFmtId="9" fontId="6" fillId="0" borderId="1" xfId="2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/>
    </xf>
    <xf numFmtId="2" fontId="11" fillId="2" borderId="3" xfId="0" applyNumberFormat="1" applyFont="1" applyFill="1" applyBorder="1" applyAlignment="1">
      <alignment horizontal="left" vertical="center" wrapText="1"/>
    </xf>
    <xf numFmtId="2" fontId="6" fillId="0" borderId="4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17" fillId="0" borderId="0" xfId="0" applyNumberFormat="1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7" fillId="0" borderId="7" xfId="0" applyNumberFormat="1" applyFont="1" applyBorder="1" applyAlignment="1">
      <alignment horizontal="left" vertical="center"/>
    </xf>
    <xf numFmtId="2" fontId="24" fillId="0" borderId="0" xfId="0" applyNumberFormat="1" applyFont="1" applyAlignment="1">
      <alignment horizontal="left" vertical="center"/>
    </xf>
    <xf numFmtId="172" fontId="24" fillId="0" borderId="0" xfId="0" applyNumberFormat="1" applyFont="1" applyAlignment="1">
      <alignment horizontal="left" vertical="center"/>
    </xf>
    <xf numFmtId="2" fontId="24" fillId="0" borderId="7" xfId="0" applyNumberFormat="1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1" fontId="17" fillId="0" borderId="0" xfId="3" applyNumberFormat="1" applyFont="1" applyAlignment="1">
      <alignment horizontal="left" vertical="center"/>
    </xf>
    <xf numFmtId="1" fontId="17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175" fontId="17" fillId="0" borderId="0" xfId="3" applyNumberFormat="1" applyFont="1" applyAlignment="1">
      <alignment horizontal="left" vertical="center"/>
    </xf>
    <xf numFmtId="171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9" fillId="0" borderId="5" xfId="4" applyFont="1" applyAlignment="1">
      <alignment wrapText="1"/>
    </xf>
    <xf numFmtId="0" fontId="19" fillId="0" borderId="5" xfId="4" applyFont="1"/>
    <xf numFmtId="0" fontId="19" fillId="3" borderId="5" xfId="4" applyFont="1" applyFill="1"/>
    <xf numFmtId="0" fontId="19" fillId="3" borderId="5" xfId="4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7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20" fillId="0" borderId="0" xfId="0" applyFont="1"/>
    <xf numFmtId="2" fontId="24" fillId="0" borderId="1" xfId="0" applyNumberFormat="1" applyFont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center" vertical="center"/>
    </xf>
    <xf numFmtId="2" fontId="17" fillId="0" borderId="1" xfId="3" applyNumberFormat="1" applyFont="1" applyBorder="1" applyAlignment="1">
      <alignment horizontal="left" vertical="center"/>
    </xf>
    <xf numFmtId="2" fontId="17" fillId="0" borderId="1" xfId="0" applyNumberFormat="1" applyFont="1" applyBorder="1" applyAlignment="1">
      <alignment horizontal="left" vertical="center"/>
    </xf>
    <xf numFmtId="2" fontId="25" fillId="0" borderId="1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0" xfId="0" applyNumberFormat="1" applyFont="1"/>
    <xf numFmtId="9" fontId="2" fillId="0" borderId="0" xfId="1" applyFont="1"/>
    <xf numFmtId="0" fontId="2" fillId="0" borderId="0" xfId="0" applyFont="1" applyAlignment="1"/>
    <xf numFmtId="0" fontId="10" fillId="3" borderId="8" xfId="0" applyFont="1" applyFill="1" applyBorder="1" applyAlignment="1"/>
    <xf numFmtId="0" fontId="5" fillId="4" borderId="8" xfId="0" applyFont="1" applyFill="1" applyBorder="1"/>
    <xf numFmtId="0" fontId="2" fillId="5" borderId="0" xfId="0" applyFont="1" applyFill="1" applyAlignment="1">
      <alignment horizontal="left" wrapText="1" indent="1"/>
    </xf>
    <xf numFmtId="0" fontId="2" fillId="5" borderId="0" xfId="0" applyFont="1" applyFill="1" applyAlignment="1">
      <alignment horizontal="left" indent="1"/>
    </xf>
  </cellXfs>
  <cellStyles count="5">
    <cellStyle name="Comma" xfId="2" builtinId="3"/>
    <cellStyle name="Currency" xfId="3" builtinId="4"/>
    <cellStyle name="Heading 3" xfId="4" builtinId="18"/>
    <cellStyle name="Normal" xfId="0" builtinId="0"/>
    <cellStyle name="Percent" xfId="1" builtinId="5"/>
  </cellStyles>
  <dxfs count="1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0" formatCode="General"/>
    </dxf>
    <dxf>
      <border outline="0">
        <bottom style="medium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</dxf>
    <dxf>
      <border outline="0">
        <bottom style="medium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71" formatCode="0.000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172" formatCode="0.00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75" formatCode="0.0000000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" formatCode="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" formatCode="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" formatCode="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" formatCode="0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rgb="FF4472C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0" formatCode="General"/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rgb="FF000000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sz val="13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368860</xdr:colOff>
      <xdr:row>8</xdr:row>
      <xdr:rowOff>173019</xdr:rowOff>
    </xdr:from>
    <xdr:ext cx="358774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3B43A80-D25E-47B3-A419-F929515C0E0D}"/>
                </a:ext>
              </a:extLst>
            </xdr:cNvPr>
            <xdr:cNvSpPr txBox="1"/>
          </xdr:nvSpPr>
          <xdr:spPr>
            <a:xfrm>
              <a:off x="1032399" y="2035210"/>
              <a:ext cx="3587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latin typeface="Cambria Math" panose="02040503050406030204" pitchFamily="18" charset="0"/>
                      </a:rPr>
                      <m:t>𝛴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3B43A80-D25E-47B3-A419-F929515C0E0D}"/>
                </a:ext>
              </a:extLst>
            </xdr:cNvPr>
            <xdr:cNvSpPr txBox="1"/>
          </xdr:nvSpPr>
          <xdr:spPr>
            <a:xfrm>
              <a:off x="1032399" y="2035210"/>
              <a:ext cx="3587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𝛴</a:t>
              </a:r>
              <a:endParaRPr lang="en-US" sz="16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61EFF5-5D2B-4377-A4EA-6474CA4DF150}" name="Table26" displayName="Table26" ref="A3:F11" totalsRowShown="0" headerRowDxfId="9" dataDxfId="8" tableBorderDxfId="17">
  <autoFilter ref="A3:F11" xr:uid="{5161EFF5-5D2B-4377-A4EA-6474CA4DF150}"/>
  <tableColumns count="6">
    <tableColumn id="1" xr3:uid="{A6C40407-4767-43BE-B4B2-2B9D5066A00F}" name="Năm" dataDxfId="15"/>
    <tableColumn id="2" xr3:uid="{0565E7EF-5D00-4071-827D-3570C97B86CD}" name="Số dư đầu kỳ" dataDxfId="14" dataCellStyle="Currency"/>
    <tableColumn id="3" xr3:uid="{06F0C947-CECA-43E0-A2E6-2C211B103A0E}" name="Tiền lãi (12%)" dataDxfId="13">
      <calculatedColumnFormula>B4*$C$1</calculatedColumnFormula>
    </tableColumn>
    <tableColumn id="4" xr3:uid="{78584729-0558-456D-9121-8193280936E1}" name="Khoản trả (10 triệu /năm)" dataDxfId="12"/>
    <tableColumn id="5" xr3:uid="{A95DEF2A-C3C6-49F6-95F4-E7C5753505FA}" name="Tiền gốc trả" dataDxfId="11">
      <calculatedColumnFormula>D4-C4</calculatedColumnFormula>
    </tableColumn>
    <tableColumn id="6" xr3:uid="{3A3FEF51-70AB-4AA3-B2F6-6B80FCA0C423}" name="Số dư cuối kỳ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7897A03-C239-470E-BD7C-D20F7BF61534}" name="Table2628" displayName="Table2628" ref="A14:F19" totalsRowShown="0" headerRowDxfId="2" dataDxfId="1" tableBorderDxfId="16">
  <autoFilter ref="A14:F19" xr:uid="{B7897A03-C239-470E-BD7C-D20F7BF61534}"/>
  <tableColumns count="6">
    <tableColumn id="1" xr3:uid="{35C5EC17-3C22-4576-B4BC-38B5B7BD4748}" name="Năm" dataDxfId="7"/>
    <tableColumn id="2" xr3:uid="{E21162FB-7487-4C2D-8C43-53D9142753A9}" name="Số dư đầu kỳ" dataDxfId="6" dataCellStyle="Currency"/>
    <tableColumn id="3" xr3:uid="{D4142AB5-B6B7-4CA1-ACD1-9D0C7B79B1CA}" name="Tiền lãi (12%)" dataDxfId="5">
      <calculatedColumnFormula>B15*$C$1</calculatedColumnFormula>
    </tableColumn>
    <tableColumn id="4" xr3:uid="{0A1EBE7A-CDEC-471F-BE6D-78B7623D3407}" name="Khoản trả " dataDxfId="4">
      <calculatedColumnFormula>$B$22</calculatedColumnFormula>
    </tableColumn>
    <tableColumn id="5" xr3:uid="{33D7F68A-743D-498A-B3F1-B9DA8518C370}" name="Tiền gốc trả" dataDxfId="0">
      <calculatedColumnFormula>Table2628[[#This Row],[Khoản trả ]]-Table2628[[#This Row],[Tiền lãi (12%)]]</calculatedColumnFormula>
    </tableColumn>
    <tableColumn id="6" xr3:uid="{E24084B5-C299-43E4-93FB-47428121B808}" name="Số dư cuối kỳ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E847923-D75A-45AF-B6A4-981F5E641C52}" name="Table25" displayName="Table25" ref="A1:D15" totalsRowShown="0" headerRowDxfId="20">
  <autoFilter ref="A1:D15" xr:uid="{AE847923-D75A-45AF-B6A4-981F5E641C52}"/>
  <tableColumns count="4">
    <tableColumn id="1" xr3:uid="{A17EBA63-F5A3-446C-BE69-9CCF8AEA84A2}" name="Tháng "/>
    <tableColumn id="2" xr3:uid="{90F48B90-A0AF-469D-B241-285FF634CBDA}" name="Số tiền trả góp"/>
    <tableColumn id="3" xr3:uid="{9421D4AD-07C5-4818-80A4-73E0A2FB8852}" name="Hệ số chiết khấu " dataDxfId="19">
      <calculatedColumnFormula>1/(1+1.5%)^A2</calculatedColumnFormula>
    </tableColumn>
    <tableColumn id="4" xr3:uid="{D62DBB55-9167-47FD-B875-FF4AA13CFF93}" name="Giá trị hiện tại _x000a_(25 x Hệ số)" dataDxfId="18">
      <calculatedColumnFormula>B2*C2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75AB271-50E5-4A55-8F02-1BE697B3F9C6}" name="Table22" displayName="Table22" ref="A1:H7" totalsRowShown="0" headerRowDxfId="27" headerRowBorderDxfId="28" headerRowCellStyle="Heading 3">
  <autoFilter ref="A1:H7" xr:uid="{275AB271-50E5-4A55-8F02-1BE697B3F9C6}"/>
  <tableColumns count="8">
    <tableColumn id="1" xr3:uid="{9CED6D77-DA6D-428B-8F00-D7A5A3EE1864}" name="Tiêu chí"/>
    <tableColumn id="2" xr3:uid="{AD1F830C-A30B-4710-99D9-CAF21F637BBC}" name="Nhà tài_x000a_trợ mạnh"/>
    <tableColumn id="3" xr3:uid="{EAC79657-075E-438F-BC4D-173BF9D24228}" name="Hỗ trợ chiến _x000a_lược kinh doanh"/>
    <tableColumn id="4" xr3:uid="{AD85F9F0-6DC9-4EF6-87DF-46ABB8D36749}" name="Tính cấp _x000a_thiết"/>
    <tableColumn id="5" xr3:uid="{26B7BE74-BDFB-4C2B-A5F9-8ACE1A79B778}" name="10% doanh số _x000a_từ sản phẩm mới"/>
    <tableColumn id="6" xr3:uid="{2C6E03E1-FE93-40CF-B197-6DA56CD672CC}" name="Cạnh tranh"/>
    <tableColumn id="7" xr3:uid="{98D1C7EF-8A54-4C62-97A4-8D205A026B86}" name="Lấp dầy khoảng trống thị trường"/>
    <tableColumn id="8" xr3:uid="{A5C19A04-0DBA-4784-A205-3BFD00208D0D}" name="Tổng trọng số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A7BB520-0AD2-496A-8B31-6478C032CD3B}" name="Table2224" displayName="Table2224" ref="A10:H16" totalsRowShown="0" headerRowDxfId="26" headerRowBorderDxfId="25" headerRowCellStyle="Heading 3">
  <autoFilter ref="A10:H16" xr:uid="{4A7BB520-0AD2-496A-8B31-6478C032CD3B}"/>
  <tableColumns count="8">
    <tableColumn id="1" xr3:uid="{11F7A155-1F00-4A2B-8AC1-0573D4EC2E74}" name="Tiêu chí"/>
    <tableColumn id="2" xr3:uid="{A0D3A8BA-CF5E-4F60-8FE8-AAB493D89A80}" name="Nhà tài_x000a_trợ mạnh"/>
    <tableColumn id="3" xr3:uid="{4C6DBAFC-2DF5-411E-8B34-BD40A2918C12}" name="Hỗ trợ chiến _x000a_lược kinh doanh"/>
    <tableColumn id="4" xr3:uid="{75231356-EC9E-4837-ABCC-B4484D572CD0}" name="Tính cấp _x000a_thiết"/>
    <tableColumn id="5" xr3:uid="{C5AC5C67-BF64-42F1-A159-7EDAF5D28A38}" name="10% doanh số _x000a_từ sản phẩm mới"/>
    <tableColumn id="6" xr3:uid="{99D336F2-287D-4E27-BA5B-A93DC63A266A}" name="Cạnh tranh"/>
    <tableColumn id="7" xr3:uid="{D7F28CFB-064E-48DE-952E-51A9F7B226F5}" name="Lấp dầy khoảng trống thị trường"/>
    <tableColumn id="8" xr3:uid="{D8205140-E417-4DE0-B5A7-4BCEA75FB528}" name="Tổng trọng số" dataDxfId="24">
      <calculatedColumnFormula>SUM(Table2224[[#This Row],[Nhà tài
trợ mạnh]:[Lấp dầy khoảng trống thị trường]])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00DE8A-C34A-4C63-821C-30506B7244E1}" name="Table222425" displayName="Table222425" ref="A21:H27" totalsRowShown="0" headerRowDxfId="23" headerRowBorderDxfId="22" headerRowCellStyle="Heading 3">
  <autoFilter ref="A21:H27" xr:uid="{D700DE8A-C34A-4C63-821C-30506B7244E1}"/>
  <tableColumns count="8">
    <tableColumn id="1" xr3:uid="{EFF157E3-5E8C-4055-8B1D-C24003DB79BB}" name="Tiêu chí"/>
    <tableColumn id="2" xr3:uid="{A814BE9B-ADE5-41C8-8332-8730A102F737}" name="Nhà tài_x000a_trợ mạnh"/>
    <tableColumn id="3" xr3:uid="{5DF82E58-34D4-4E78-BF47-9C0AE013F7BF}" name="Hỗ trợ chiến _x000a_lược kinh doanh"/>
    <tableColumn id="4" xr3:uid="{E4A11430-7523-4A30-9D38-043A68BC9864}" name="Tính cấp _x000a_thiết"/>
    <tableColumn id="5" xr3:uid="{E3885B21-48A7-4E31-BE71-350F62576B72}" name="10% doanh số _x000a_từ sản phẩm mới"/>
    <tableColumn id="6" xr3:uid="{9B6BA39D-3314-42CD-B9DB-8F53C7045C1B}" name="Cạnh tranh"/>
    <tableColumn id="7" xr3:uid="{030CD2DB-EB61-40F8-A739-3BEA677A7268}" name="Lấp dầy khoảng trống thị trường"/>
    <tableColumn id="8" xr3:uid="{AF649C29-722D-4CD2-9707-925FF0C17F31}" name="Tổng trọng số" dataDxfId="21">
      <calculatedColumnFormula>SUM(Table222425[[#This Row],[Nhà tài
trợ mạnh]:[Lấp dầy khoảng trống thị trường]])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7EC6D1-97B8-4668-BA60-746E4DB521F5}" name="Table1612161921" displayName="Table1612161921" ref="A4:G7" totalsRowCount="1" headerRowDxfId="49" dataDxfId="48">
  <autoFilter ref="A4:G6" xr:uid="{BD47A02D-02CC-43D4-91C0-DB4C8F45C622}"/>
  <tableColumns count="7">
    <tableColumn id="1" xr3:uid="{B2F977D8-CF89-4F73-8C55-6DCB5454FCBE}" name="Năm" dataDxfId="45" totalsRowDxfId="42"/>
    <tableColumn id="8" xr3:uid="{36548717-68A6-4FA6-833D-F60D3DDFC4C1}" name="Đầu tư_x000a_(Chi phí Ct)" dataDxfId="44" totalsRowDxfId="41"/>
    <tableColumn id="6" xr3:uid="{BA677F3F-71FB-4D0F-9B96-C9D5FF71E0FB}" name="Khoảng cách thời gian _x000a_(Δt = T−Year)" dataDxfId="35" totalsRowDxfId="40">
      <calculatedColumnFormula array="1">Table3814172022[[Năm trả gộp ]]-Table1612161921[[#This Row],[Năm]]</calculatedColumnFormula>
    </tableColumn>
    <tableColumn id="4" xr3:uid="{2476DEB2-79EA-433B-A62F-D474818EA153}" name="Hệ số tích lũy_x000a_ (1+r)t" dataDxfId="34" totalsRowDxfId="39">
      <calculatedColumnFormula>(1+$B$1)^C5</calculatedColumnFormula>
    </tableColumn>
    <tableColumn id="2" xr3:uid="{F861655E-905C-41EF-AF82-3F0B1F1299F3}" name="GT quy đổi của dòng tiền trong tương lai_x000a_FVt = CF * (1+ r)t" totalsRowFunction="custom" dataDxfId="32" totalsRowDxfId="38">
      <calculatedColumnFormula>IF(C5&gt;=0, B5*(1+$B$1)^C5, B5/(1+$B$1)^ABS(C5))</calculatedColumnFormula>
      <totalsRowFormula>SUM(Table1612161921[GT quy đổi của dòng tiền trong tương lai
FVt = CF * (1+ r)t])</totalsRowFormula>
    </tableColumn>
    <tableColumn id="5" xr3:uid="{67A085DA-E10B-4294-9833-405CC5091963}" name="Hệ số chiết khấu ​tại năm t_x000a_1/ (1+r)t" dataDxfId="33" totalsRowDxfId="37"/>
    <tableColumn id="9" xr3:uid="{6082EE82-B1E9-4BBF-920F-7ACE976060F0}" name="Giá trị hiện tại: _x000a_PV(CFt)= CFt/(1+r)t" dataDxfId="43" totalsRowDxfId="36">
      <calculatedColumnFormula>Table1612161921[[#This Row],[Hệ số tích lũy
 (1+r)t]]*Table1612161921[[#This Row],[GT quy đổi của dòng tiền trong tương lai
FVt = CF * (1+ r)t]]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05C9923-A94E-4C83-B28F-327F1231EAAC}" name="Table3814172022" displayName="Table3814172022" ref="A9:C10" totalsRowShown="0" headerRowDxfId="47" dataDxfId="46">
  <autoFilter ref="A9:C10" xr:uid="{4759F9DB-463E-4799-8DE4-DABAE91D62A4}"/>
  <tableColumns count="3">
    <tableColumn id="8" xr3:uid="{09505D58-FEBD-422C-AD63-1029A08D803B}" name="Năm trả gộp " dataDxfId="31"/>
    <tableColumn id="1" xr3:uid="{36B276AA-76CF-46EB-AA31-417E3E55CF96}" name="Số tiền phải trả" dataDxfId="30">
      <calculatedColumnFormula>Table1612161921[[#Totals],[GT quy đổi của dòng tiền trong tương lai
FVt = CF * (1+ r)t]]</calculatedColumnFormula>
    </tableColumn>
    <tableColumn id="2" xr3:uid="{1EAAEF0B-C54A-4312-A025-350F9E77B094}" name="Column1" dataDxfId="29">
      <calculatedColumnFormula array="1">SUMPRODUCT(B5:B6 * (1+$B$1)^($A$10 - A5:A6))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4D15C7-DD76-4124-A1C8-A8CE9D8BE3E4}" name="Table16121619" displayName="Table16121619" ref="A4:H10" totalsRowShown="0" headerRowDxfId="65" dataDxfId="64">
  <autoFilter ref="A4:H10" xr:uid="{BD47A02D-02CC-43D4-91C0-DB4C8F45C622}"/>
  <tableColumns count="8">
    <tableColumn id="1" xr3:uid="{5ED5EE4A-A352-4817-A2C0-6106F6D9E0E6}" name="Năm" dataDxfId="63"/>
    <tableColumn id="8" xr3:uid="{883686D3-37DD-489A-934F-AAC002F3E417}" name="Đầu tư_x000a_(Chi phí Ct)" dataDxfId="52"/>
    <tableColumn id="6" xr3:uid="{6532CD5B-A2A4-4727-A0F3-A8B6C0F5C868}" name="Lợi nhuận_x000a_(Lợi ích Bt)" dataDxfId="53"/>
    <tableColumn id="4" xr3:uid="{3B26BBCB-B7BB-4B6B-A588-CB3A339E4284}" name="Dòng tiền thuần tại giai đoạn t (lãi/lỗ)_x000a_CFt" dataDxfId="51">
      <calculatedColumnFormula>Table16121619[[#This Row],[Lợi nhuận
(Lợi ích Bt)]]-Table16121619[[#This Row],[Đầu tư
(Chi phí Ct)]]</calculatedColumnFormula>
    </tableColumn>
    <tableColumn id="7" xr3:uid="{5A5CEE1F-AC3C-4A83-919D-8D6FC3240748}" name="Lũy kế CF_x000a_(Không chiết khấu)_x000a_∑t CFi_x000a_i=0 " dataDxfId="50">
      <calculatedColumnFormula>Table16121619[[#This Row],[Dòng tiền thuần tại giai đoạn t (lãi/lỗ)
CFt]]</calculatedColumnFormula>
    </tableColumn>
    <tableColumn id="2" xr3:uid="{251A1D42-A672-423A-8861-0EC0C15C1FF1}" name="Hệ số chiết khấu ​tại năm t_x000a_1/ (1+r)t" dataDxfId="62">
      <calculatedColumnFormula>1/(1+$B$1)^Table16121619[[#This Row],[Năm]]</calculatedColumnFormula>
    </tableColumn>
    <tableColumn id="3" xr3:uid="{06925CBD-2A35-43FC-90BB-A0BFC5A10342}" name="Giá trị hiện tại: _x000a_PV(CFt)= CFt/(1+r)t" dataDxfId="61">
      <calculatedColumnFormula>Table16121619[[#This Row],[Dòng tiền thuần tại giai đoạn t (lãi/lỗ)
CFt]]*Table16121619[[#This Row],[Hệ số chiết khấu ​tại năm t
1/ (1+r)t]]</calculatedColumnFormula>
    </tableColumn>
    <tableColumn id="5" xr3:uid="{D27B7887-8744-440C-8342-78FAC3455697}" name="Lũy kế PV CF_x000a_(Có chiết khấu)_x000a_∑t CFt/(1+r)i_x000a_i=0 " dataDxfId="60">
      <calculatedColumnFormula>Table16121619[[#This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1CEE81-A58C-4237-926D-F694F6963A6B}" name="Table38141720" displayName="Table38141720" ref="A12:D13" totalsRowShown="0" headerRowDxfId="59" dataDxfId="58">
  <autoFilter ref="A12:D13" xr:uid="{4759F9DB-463E-4799-8DE4-DABAE91D62A4}"/>
  <tableColumns count="4">
    <tableColumn id="8" xr3:uid="{7F1124BB-A0E7-48EA-A39C-E32CDB9CE777}" name="Dự án" dataDxfId="57"/>
    <tableColumn id="5" xr3:uid="{5B23359E-01C9-473E-BC58-8F19518D81E0}" name="Tỷ suất nội hoàn_x000a_0=∑t CFt/(1+IRR)t_x000a_     i=0 " dataDxfId="56" dataCellStyle="Comma">
      <calculatedColumnFormula>IRR($D$5:$D$10)</calculatedColumnFormula>
    </tableColumn>
    <tableColumn id="6" xr3:uid="{6C6781AB-A516-4875-9723-5C33C21442DA}" name="Payback năm _x000a_(không chiết khấu)" dataDxfId="55">
      <calculatedColumnFormula array="1">_xlfn.LET(_xlpm.c,$E$5:$E$10,
     _xlpm.pos,MATCH(TRUE,_xlpm.c&gt;=0,0),
     _xlpm.a,INDEX($A$5:$A$10,_xlpm.pos-1),
     _xlpm.b,-INDEX($E$5:$E$10,_xlpm.pos-1),
     _xlpm.cflow,INDEX($D$5:$D$10,_xlpm.pos),
     IFERROR(_xlpm.a + _xlpm.b/_xlpm.cflow,"Chưa hoàn vốn"))</calculatedColumnFormula>
    </tableColumn>
    <tableColumn id="7" xr3:uid="{2230F9D6-7768-43D7-A9E6-437713383BE5}" name="Discounted Payback" dataDxfId="54">
      <calculatedColumnFormula array="1">INDEX($A$5:$A$10, MATCH(TRUE, $H$5:$H$10&gt;=0, 0)-1)
 + ABS(INDEX($H$5:$H$10, MATCH(TRUE, $H$5:$H$10&gt;=0, 0)-1))
 / INDEX($G$5:$G$10, MATCH(TRUE, $H$5:$H$10&gt;=0, 0))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8BFAC7-8C2D-4281-98A1-BF3F366AB709}" name="Table161216" displayName="Table161216" ref="A4:F13" totalsRowShown="0" headerRowDxfId="73" dataDxfId="72">
  <autoFilter ref="A4:F13" xr:uid="{BD47A02D-02CC-43D4-91C0-DB4C8F45C622}"/>
  <tableColumns count="6">
    <tableColumn id="1" xr3:uid="{AB74E5B2-8513-43AB-AAE6-0CB9162EEF27}" name="Năm" dataDxfId="69"/>
    <tableColumn id="4" xr3:uid="{660B0C5E-9684-4A6A-8CB4-AD07AB98899C}" name="Dòng tiền thuần tại giai đoạn t (lãi/lỗ)_x000a_CFt" dataDxfId="68"/>
    <tableColumn id="7" xr3:uid="{04657DA7-FC7C-41D2-8DB1-8F3B0C3F3BA1}" name="Lũy kế CF_x000a_(Không chiết khấu)_x000a_∑t CFi_x000a_i=0 " dataDxfId="66">
      <calculatedColumnFormula>Table161216[[#This Row],[Dòng tiền thuần tại giai đoạn t (lãi/lỗ)
CFt]]</calculatedColumnFormula>
    </tableColumn>
    <tableColumn id="2" xr3:uid="{2129AF4D-B2CF-4168-9811-C55A47B4E423}" name="Hệ số chiết khấu ​tại năm t_x000a_1/ (1+r)t" dataDxfId="67">
      <calculatedColumnFormula>1/(1+$B$1)^Table161216[[#This Row],[Năm]]</calculatedColumnFormula>
    </tableColumn>
    <tableColumn id="3" xr3:uid="{F09A24E9-C2BC-47E7-B085-4133F5215BD9}" name="Giá trị hiện tại: _x000a_PV(CFt)= CFt/(1+r)t" dataDxfId="71">
      <calculatedColumnFormula>Table161216[[#This Row],[Dòng tiền thuần tại giai đoạn t (lãi/lỗ)
CFt]]*Table161216[[#This Row],[Hệ số chiết khấu ​tại năm t
1/ (1+r)t]]</calculatedColumnFormula>
    </tableColumn>
    <tableColumn id="5" xr3:uid="{11177BB0-2F83-49BB-83BA-5863215945BA}" name="Lũy kế PV CF_x000a_(Có chiết khấu)_x000a_∑t CFt/(1+r)i_x000a_i=0 " dataDxfId="70">
      <calculatedColumnFormula>Table161216[[#This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C824D6-20C3-47CC-8738-0356195AA5A7}" name="Table381417" displayName="Table381417" ref="A15:D16" totalsRowShown="0" headerRowDxfId="79" dataDxfId="78">
  <autoFilter ref="A15:D16" xr:uid="{4759F9DB-463E-4799-8DE4-DABAE91D62A4}"/>
  <tableColumns count="4">
    <tableColumn id="8" xr3:uid="{3325AE6C-144E-430F-B019-95FB3D33610C}" name="Dự án" dataDxfId="77"/>
    <tableColumn id="5" xr3:uid="{3467D2A0-7CF4-4ADF-B4B9-35AC0DFB71F3}" name="Tỷ suất nội hoàn_x000a_0=∑t CFt/(1+IRR)t_x000a_     i=0 " dataDxfId="76" dataCellStyle="Comma">
      <calculatedColumnFormula>IRR($B$5:$B$13)</calculatedColumnFormula>
    </tableColumn>
    <tableColumn id="6" xr3:uid="{50D8DA44-4675-48AE-907D-0A16EA629F19}" name="Payback năm _x000a_(không chiết khấu)" dataDxfId="75">
      <calculatedColumnFormula array="1">_xlfn.LET(_xlpm.c,$C$5:$C$13,
     _xlpm.pos,MATCH(TRUE,_xlpm.c&gt;=0,0),
     _xlpm.a,INDEX($A$5:$A$13,_xlpm.pos-1),
     _xlpm.b,-INDEX($C$5:$C$13,_xlpm.pos-1),
     _xlpm.cflow,INDEX($B$5:$B$13,_xlpm.pos),
     IFERROR(_xlpm.a + _xlpm.b/_xlpm.cflow,"Chưa hoàn vốn"))</calculatedColumnFormula>
    </tableColumn>
    <tableColumn id="7" xr3:uid="{42BE7629-13BF-48D6-950A-44224CE5979E}" name="Discounted Payback" dataDxfId="74">
      <calculatedColumnFormula>IF(ABS(B5)*$B$1&gt;=B6,"Không tồn tại", -LN(1-(ABS(B5)*$B$1)/B6)/LN(1+$B$1))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46D78E-C3AA-4859-96D3-C93A8D7D6984}" name="Table1612" displayName="Table1612" ref="A3:C11" totalsRowShown="0" headerRowDxfId="97" dataDxfId="96">
  <autoFilter ref="A3:C11" xr:uid="{BD47A02D-02CC-43D4-91C0-DB4C8F45C622}"/>
  <tableColumns count="3">
    <tableColumn id="1" xr3:uid="{2D79E006-A436-4080-942D-E0EABD41FC95}" name="Năm" dataDxfId="95"/>
    <tableColumn id="4" xr3:uid="{6F1269ED-96F8-4AB8-9FA5-4DE804C8B6E4}" name="Dòng tiền thuần tại giai đoạn t (lãi/lỗ)_x000a_CFt" dataDxfId="80"/>
    <tableColumn id="7" xr3:uid="{3E13461B-D595-49BD-BFF4-8A02B6A84A7D}" name="Lũy kế CF_x000a_(Không chiết khấu)_x000a_∑t CFi_x000a_i=0 " dataDxfId="94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7AB1E6-94C1-462E-9C81-F9D9C1D49645}" name="Table3814" displayName="Table3814" ref="A25:D26" totalsRowShown="0" headerRowDxfId="93" dataDxfId="92">
  <autoFilter ref="A25:D26" xr:uid="{4759F9DB-463E-4799-8DE4-DABAE91D62A4}"/>
  <tableColumns count="4">
    <tableColumn id="8" xr3:uid="{8D1E3F31-F0CD-4D66-A0C1-0F9AF1695608}" name="Dự án" dataDxfId="91"/>
    <tableColumn id="5" xr3:uid="{6ABA1094-DABC-4D60-8535-EB9551E1060B}" name="Tỷ suất nội hoàn_x000a_0=∑t CFt/(1+IRR)t_x000a_     i=0 " dataDxfId="90" dataCellStyle="Comma">
      <calculatedColumnFormula>IRR($B$4:$B$11)</calculatedColumnFormula>
    </tableColumn>
    <tableColumn id="6" xr3:uid="{3F4E9657-42A3-4BD0-A14F-E2B76E69509C}" name="Payback năm _x000a_(không chiết khấu)" dataDxfId="89">
      <calculatedColumnFormula array="1">_xlfn.LET(_xlpm.c,$C$4:$C$11,
     _xlpm.pos,MATCH(TRUE,_xlpm.c&gt;=0,0),
     _xlpm.a,INDEX($A$4:$A$11,_xlpm.pos-1),
     _xlpm.b,-INDEX($C$4:$C$11,_xlpm.pos-1),
     _xlpm.cflow,INDEX($B$4:$B$11,_xlpm.pos),
     IFERROR(_xlpm.a + _xlpm.b/_xlpm.cflow,"Chưa hoàn vốn"))</calculatedColumnFormula>
    </tableColumn>
    <tableColumn id="7" xr3:uid="{5FB55DBE-0202-46B8-90D3-4C599492B50A}" name="Discoundted Payback" dataDxfId="88">
      <calculatedColumnFormula array="1">_xlfn.LET(_xlpm.c,#REF!,
     _xlpm.pos,MATCH(TRUE,_xlpm.c&gt;=0,0),
     _xlpm.a,INDEX($A$4:$A$11,_xlpm.pos-1),
     _xlpm.b,-INDEX(#REF!,_xlpm.pos-1),
     _xlpm.cflow,INDEX(#REF!,_xlpm.pos),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AF42C5-B5B8-49BA-A47B-39753ECBEA5E}" name="Table4915" displayName="Table4915" ref="A28:D29" totalsRowShown="0" headerRowDxfId="87" dataDxfId="86" tableBorderDxfId="85">
  <autoFilter ref="A28:D29" xr:uid="{DBF3A881-E7D3-4FF3-89EB-56ADA1F18043}"/>
  <tableColumns count="4">
    <tableColumn id="1" xr3:uid="{E10BF5B0-B223-4A14-8E84-3C558A1CA6C2}" name="Dự án" dataDxfId="84"/>
    <tableColumn id="6" xr3:uid="{6A2E8675-1595-4B27-A2FF-F176D9DA60D6}" name="Tỷ suất nội hoàn_x000a_0=∑t CFt/(1+IRR)t_x000a_     i=0 " dataDxfId="83" dataCellStyle="Comma">
      <calculatedColumnFormula>IRR($B$15:$B$19)</calculatedColumnFormula>
    </tableColumn>
    <tableColumn id="7" xr3:uid="{A042E386-C457-4554-8D4A-B7E41B371906}" name="Payback năm _x000a_(không chiết khấu)" dataDxfId="82">
      <calculatedColumnFormula array="1">_xlfn.LET(_xlpm.c,#REF!,
     _xlpm.pos,MATCH(TRUE,_xlpm.c&gt;=0,0),
     _xlpm.a,INDEX(#REF!,_xlpm.pos-1),
     _xlpm.b,-INDEX(#REF!,_xlpm.pos-1),
     _xlpm.cflow,INDEX(#REF!,_xlpm.pos),
     IFERROR(_xlpm.a + _xlpm.b/_xlpm.cflow,"Chưa hoàn vốn"))</calculatedColumnFormula>
    </tableColumn>
    <tableColumn id="8" xr3:uid="{BF0A4530-781B-4736-BC7F-CBA99AD01EC0}" name="Discoundted Payback" dataDxfId="81">
      <calculatedColumnFormula array="1">_xlfn.LET(_xlpm.c,#REF!,
     _xlpm.pos,MATCH(TRUE,_xlpm.c&gt;=0,0),
     _xlpm.a,INDEX(#REF!,_xlpm.pos-1),
     _xlpm.b,-INDEX(#REF!,_xlpm.pos-1),
     _xlpm.cflow,INDEX(#REF!,_xlpm.pos),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595B00-D093-4EE1-9F19-66D801F2C0D6}" name="Table16" displayName="Table16" ref="A4:H12" totalsRowShown="0" headerRowDxfId="183" dataDxfId="182">
  <autoFilter ref="A4:H12" xr:uid="{BD47A02D-02CC-43D4-91C0-DB4C8F45C622}"/>
  <tableColumns count="8">
    <tableColumn id="1" xr3:uid="{C81E0141-DCDC-46DF-8B55-4ED1DE6F2D53}" name="Năm" dataDxfId="181"/>
    <tableColumn id="2" xr3:uid="{975CE348-A234-4318-B7F3-32BB385F228C}" name="Đầu tư_x000a_(Chi phí Ct)" dataDxfId="101"/>
    <tableColumn id="3" xr3:uid="{67205DA5-81C2-46D2-821B-C71BE0DD9A52}" name="Lợi nhuận_x000a_(Lợi ích Bt)" dataDxfId="100"/>
    <tableColumn id="4" xr3:uid="{78A79F70-ACC8-4A38-A0AA-C2D8DA318363}" name="Dòng tiền thuần tại giai đoạn t (lãi/lỗ)_x000a_CFt=Ct-  Bt " dataDxfId="180">
      <calculatedColumnFormula>Table16[[#This Row],[Lợi nhuận
(Lợi ích Bt)]]-Table16[[#This Row],[Đầu tư
(Chi phí Ct)]]</calculatedColumnFormula>
    </tableColumn>
    <tableColumn id="5" xr3:uid="{32612EE8-1209-4FD5-ABD4-E43C742CEE3A}" name="Hệ số chiết khấu ​tại năm t_x000a_1/ (1+r)t" dataDxfId="179">
      <calculatedColumnFormula>1/(1+$B$1)^Table16[[#This Row],[Năm]]</calculatedColumnFormula>
    </tableColumn>
    <tableColumn id="6" xr3:uid="{CC9C2BD9-149F-43E6-8AAB-E8DEC51968C3}" name="Giá trị hiện tại: _x000a_PV(CFt)= CFt/(1+r)t" dataDxfId="178">
      <calculatedColumnFormula>Table16[[#This Row],[Dòng tiền thuần tại giai đoạn t (lãi/lỗ)
CFt=Ct-  Bt ]]*Table16[[#This Row],[Hệ số chiết khấu ​tại năm t
1/ (1+r)t]]</calculatedColumnFormula>
    </tableColumn>
    <tableColumn id="7" xr3:uid="{25981C60-B4C9-4A8E-A505-4727ED287331}" name="Lũy kế CF_x000a_(Không chiết khấu)_x000a_∑t CFi_x000a_i=0 " dataDxfId="177">
      <calculatedColumnFormula>Table16[[#This Row],[Dòng tiền thuần tại giai đoạn t (lãi/lỗ)
CFt=Ct-  Bt ]]</calculatedColumnFormula>
    </tableColumn>
    <tableColumn id="8" xr3:uid="{C187FC08-9E19-4347-A3D2-35C9B9FA0A1B}" name="Lũy kế PV CF_x000a_(Có chiết khấu)_x000a_∑t CFt/(1+r)i_x000a_i=0 " dataDxfId="176">
      <calculatedColumnFormula>Table16[[#This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8E0F2D-19FD-4CF1-A1A2-4ECCB83BB996}" name="Table27" displayName="Table27" ref="A15:H23" totalsRowShown="0" headerRowDxfId="175" dataDxfId="174">
  <autoFilter ref="A15:H23" xr:uid="{CD23E18D-EF1A-41F7-B22B-3BF34E456A9E}"/>
  <tableColumns count="8">
    <tableColumn id="1" xr3:uid="{9348F8EC-3B15-4F59-A5D0-300343899FC2}" name="Năm" dataDxfId="173"/>
    <tableColumn id="2" xr3:uid="{716E9420-BEC6-4C5A-B0DE-127DA2FD82B9}" name="Đầu tư_x000a_(Chi phí Ct)" dataDxfId="99"/>
    <tableColumn id="3" xr3:uid="{8AB73885-B9C0-4606-BB2D-1CE5C440393B}" name="Lợi nhuận_x000a_(Lợi ích Bt)" dataDxfId="98"/>
    <tableColumn id="4" xr3:uid="{1D76AF26-A1A3-45C4-83C7-B41FF7A90A99}" name="Dòng tiền thuần tại giai đoạn t_x000a_CFt= Ct-  Bt " dataDxfId="172">
      <calculatedColumnFormula>Table27[[#This Row],[Lợi nhuận
(Lợi ích Bt)]]-Table27[[#This Row],[Đầu tư
(Chi phí Ct)]]</calculatedColumnFormula>
    </tableColumn>
    <tableColumn id="5" xr3:uid="{ED4384BC-77EE-49E4-8DF0-C1A1C96390C1}" name="Hệ số chiết khấu ​tại năm t_x000a_1/ (1+r)t" dataDxfId="171">
      <calculatedColumnFormula>1/(1+$B$1)^Table27[[#This Row],[Năm]]</calculatedColumnFormula>
    </tableColumn>
    <tableColumn id="6" xr3:uid="{B8D26131-E684-41D4-A617-3FF5F4320CCC}" name="Giá trị hiện tại: _x000a_PV(CFt)= CFt/(1+r)t" dataDxfId="170">
      <calculatedColumnFormula>Table27[[#This Row],[Dòng tiền thuần tại giai đoạn t
CFt= Ct-  Bt ]]*Table27[[#This Row],[Hệ số chiết khấu ​tại năm t
1/ (1+r)t]]</calculatedColumnFormula>
    </tableColumn>
    <tableColumn id="7" xr3:uid="{13E49F71-3FE2-42C0-B102-E18C69DFAD0F}" name="Lũy kế CF_x000a_(Không chiết khấu)_x000a_∑t CFt_x000a_i=0 " dataDxfId="169">
      <calculatedColumnFormula>Table27[[#This Row],[Dòng tiền thuần tại giai đoạn t
CFt= Ct-  Bt ]]</calculatedColumnFormula>
    </tableColumn>
    <tableColumn id="8" xr3:uid="{CE36B2A2-EBDC-4AFE-853A-1678061050DC}" name="Lũy kế PV CF_x000a_(Có chiết khấu)_x000a_∑t CFt/(1+r)i_x000a_i=0 " dataDxfId="168">
      <calculatedColumnFormula>Table27[[#This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813460-574B-4E3D-983D-8D8E9D87991D}" name="Table38" displayName="Table38" ref="A26:I27" totalsRowShown="0" headerRowDxfId="167" dataDxfId="166">
  <autoFilter ref="A26:I27" xr:uid="{4759F9DB-463E-4799-8DE4-DABAE91D62A4}"/>
  <tableColumns count="9">
    <tableColumn id="8" xr3:uid="{06E4F583-941F-49BE-84B9-3DB688F8BE2F}" name="Dự án" dataDxfId="165"/>
    <tableColumn id="1" xr3:uid="{BC6F8F07-0351-406D-B16E-F900E26259F8}" name="PV(C)= ∑tt=0  Ct/(1+r)t" dataDxfId="164">
      <calculatedColumnFormula>SUMPRODUCT(Table16[Đầu tư
(Chi phí Ct)],Table16[Hệ số chiết khấu ​tại năm t
1/ (1+r)t])</calculatedColumnFormula>
    </tableColumn>
    <tableColumn id="2" xr3:uid="{729472E3-F719-4199-8A4A-AE2A70066F55}" name="PV(B)= ∑tt=0  Bt/(1+r)t_x000a_" dataDxfId="163">
      <calculatedColumnFormula>SUMPRODUCT(Table16[Lợi nhuận
(Lợi ích Bt)],Table16[Hệ số chiết khấu ​tại năm t
1/ (1+r)t])</calculatedColumnFormula>
    </tableColumn>
    <tableColumn id="3" xr3:uid="{12A6DA4A-1771-49A0-8E07-B541E4630AE6}" name="a) Giá trị hiện tại thuần_x000a_NPV= PV(B)-PV(C)" dataDxfId="162">
      <calculatedColumnFormula>Table38[[#This Row],[PV(B)= ∑tt=0  Bt/(1+r)t
]]-Table38[[#This Row],[PV(C)= ∑tt=0  Ct/(1+r)t]]</calculatedColumnFormula>
    </tableColumn>
    <tableColumn id="9" xr3:uid="{FDE1048D-DE09-4501-86E5-2B9DA4A8312C}" name="b) Lợi nhuận trên một _x000a_đơn vị tiền tệ đầu tư_x000a_NPV/PV©" dataDxfId="161" dataCellStyle="Percent">
      <calculatedColumnFormula>Table38[[#This Row],[a) Giá trị hiện tại thuần
NPV= PV(B)-PV(C)]]/Table38[[#This Row],[PV(B)= ∑tt=0  Bt/(1+r)t
]]</calculatedColumnFormula>
    </tableColumn>
    <tableColumn id="4" xr3:uid="{2D8EAF0B-C3ED-475D-B159-22BFE84D721B}" name="Chỉ số lợi ích/chi phí_x000a_=PV(B)/PV(C)" dataDxfId="160" dataCellStyle="Percent">
      <calculatedColumnFormula>Table38[[#This Row],[PV(C)= ∑tt=0  Ct/(1+r)t]]/Table38[[#This Row],[PV(B)= ∑tt=0  Bt/(1+r)t
]]</calculatedColumnFormula>
    </tableColumn>
    <tableColumn id="5" xr3:uid="{921ECA79-E074-4C27-BCEE-1F8C499A96D4}" name="Tỷ suất nội hoàn_x000a_0=∑t CFt/(1+IRR)t_x000a_     i=0 " dataDxfId="159" dataCellStyle="Comma">
      <calculatedColumnFormula>IRR($D$5:$D$12)</calculatedColumnFormula>
    </tableColumn>
    <tableColumn id="6" xr3:uid="{C8FB09E9-907A-47D8-8ED3-5336AA612053}" name="Payback năm _x000a_(không chiết khấu)" dataDxfId="158">
      <calculatedColumnFormula array="1">_xlfn.LET(_xlpm.c,$G$5:$G$12,
     _xlpm.pos,MATCH(TRUE,_xlpm.c&gt;=0,0),
     _xlpm.a,INDEX($A$5:$A$12,_xlpm.pos-1),
     _xlpm.b,-INDEX($G$5:$G$12,_xlpm.pos-1),
     _xlpm.cflow,INDEX($D$5:$D$12,_xlpm.pos),
     IFERROR(_xlpm.a + _xlpm.b/_xlpm.cflow,"Chưa hoàn vốn"))</calculatedColumnFormula>
    </tableColumn>
    <tableColumn id="7" xr3:uid="{57925F00-8FB9-41EE-95BE-ED1FFB3A323E}" name="Discoundted Payback" dataDxfId="157">
      <calculatedColumnFormula array="1">_xlfn.LET(_xlpm.c,$H$5:$H$12,
     _xlpm.pos,MATCH(TRUE,_xlpm.c&gt;=0,0),
     _xlpm.a,INDEX($A$5:$A$12,_xlpm.pos-1),
     _xlpm.b,-INDEX($H$5:$H$12,_xlpm.pos-1),
     _xlpm.cflow,INDEX($F$5:$F$12,_xlpm.pos),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86478-22FF-406E-897B-525B34692583}" name="Table49" displayName="Table49" ref="A29:I30" totalsRowShown="0" headerRowDxfId="156" dataDxfId="155" tableBorderDxfId="154">
  <autoFilter ref="A29:I30" xr:uid="{DBF3A881-E7D3-4FF3-89EB-56ADA1F18043}"/>
  <tableColumns count="9">
    <tableColumn id="1" xr3:uid="{1FCBECCC-420C-4F99-BACE-C9B430F48E5C}" name="Dự án" dataDxfId="153"/>
    <tableColumn id="2" xr3:uid="{43E56C94-1944-46D6-AE9E-1E268C989BFC}" name="PV(C)= ∑tt=0  Ct/(1+r)t" dataDxfId="152">
      <calculatedColumnFormula>SUMPRODUCT(Table27[Đầu tư
(Chi phí Ct)],Table27[Hệ số chiết khấu ​tại năm t
1/ (1+r)t])</calculatedColumnFormula>
    </tableColumn>
    <tableColumn id="3" xr3:uid="{CB4945FF-93BA-4BF0-AE27-22FE3584252A}" name="PV(B)= ∑tt=0  Bt/(1+r)t_x000a_" dataDxfId="151">
      <calculatedColumnFormula>SUMPRODUCT(Table27[Lợi nhuận
(Lợi ích Bt)],Table27[Hệ số chiết khấu ​tại năm t
1/ (1+r)t])</calculatedColumnFormula>
    </tableColumn>
    <tableColumn id="4" xr3:uid="{E1CECE59-5927-4D83-941D-EC1EC75B458B}" name="a) Giá trị hiện tại thuần_x000a_NPV= PV(B)-PV(C)" dataDxfId="150">
      <calculatedColumnFormula>Table49[[#This Row],[PV(B)= ∑tt=0  Bt/(1+r)t
]]-Table49[[#This Row],[PV(C)= ∑tt=0  Ct/(1+r)t]]</calculatedColumnFormula>
    </tableColumn>
    <tableColumn id="9" xr3:uid="{76BAC1C6-AA48-42AF-94BA-604A1E4A658B}" name="b) Lợi nhuận trên một đơn vị tiền tệ đầu tư_x000a_NPV/PV(C)" dataDxfId="149" dataCellStyle="Percent">
      <calculatedColumnFormula>Table49[[#This Row],[a) Giá trị hiện tại thuần
NPV= PV(B)-PV(C)]]/Table49[[#This Row],[PV(B)= ∑tt=0  Bt/(1+r)t
]]</calculatedColumnFormula>
    </tableColumn>
    <tableColumn id="5" xr3:uid="{3115613F-5F70-4F93-A619-5EF6031DA78C}" name="Chỉ số lợi ích/chi phí_x000a_=PV(B)/PV©" dataDxfId="148" dataCellStyle="Percent">
      <calculatedColumnFormula>Table49[[#This Row],[PV(C)= ∑tt=0  Ct/(1+r)t]]/Table49[[#This Row],[PV(B)= ∑tt=0  Bt/(1+r)t
]]</calculatedColumnFormula>
    </tableColumn>
    <tableColumn id="6" xr3:uid="{9A4AF8C1-946E-4ACF-B68F-FE749333AC1C}" name="Tỷ suất nội hoàn_x000a_0=∑t CFt/(1+IRR)t_x000a_     i=0 " dataDxfId="147" dataCellStyle="Comma">
      <calculatedColumnFormula>IRR($D$16:$D$23)</calculatedColumnFormula>
    </tableColumn>
    <tableColumn id="7" xr3:uid="{98E91DCD-4028-4B8B-AC7F-60CEEE22B3C4}" name="Payback năm _x000a_(không chiết khấu)" dataDxfId="146">
      <calculatedColumnFormula array="1">_xlfn.LET(_xlpm.c,Table27[Lũy kế CF
(Không chiết khấu)
∑t CFt
i=0 ],
     _xlpm.pos,MATCH(TRUE,_xlpm.c&gt;=0,0),
     _xlpm.a,INDEX($A$16:$A$23,_xlpm.pos-1),
     _xlpm.b,-INDEX(Table27[Lũy kế CF
(Không chiết khấu)
∑t CFt
i=0 ],_xlpm.pos-1),
     _xlpm.cflow,INDEX($D$16:$D$23,_xlpm.pos),
     IFERROR(_xlpm.a + _xlpm.b/_xlpm.cflow,"Chưa hoàn vốn"))</calculatedColumnFormula>
    </tableColumn>
    <tableColumn id="8" xr3:uid="{19D7437B-CB98-4A35-8589-522FFE9EF31A}" name="Discoundted Payback" dataDxfId="145">
      <calculatedColumnFormula array="1">_xlfn.LET(_xlpm.c,$H$16:$H$23,
     _xlpm.pos,MATCH(TRUE,_xlpm.c&gt;=0,0),
     _xlpm.a,INDEX($A$16:$A$23,_xlpm.pos-1),
     _xlpm.b,-INDEX($H$16:$H$23,_xlpm.pos-1),
     _xlpm.cflow,INDEX($F$16:$F$23,_xlpm.pos),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7A02D-02CC-43D4-91C0-DB4C8F45C622}" name="Table1" displayName="Table1" ref="A4:H10" totalsRowShown="0" headerRowDxfId="144" dataDxfId="143">
  <autoFilter ref="A4:H10" xr:uid="{BD47A02D-02CC-43D4-91C0-DB4C8F45C622}"/>
  <tableColumns count="8">
    <tableColumn id="1" xr3:uid="{83EB39A9-842E-492D-8EC0-E92AFA0AB027}" name="Năm" dataDxfId="142"/>
    <tableColumn id="2" xr3:uid="{3BC7E4B2-C3AF-47C0-A458-A802BD6CC96D}" name="Đầu tư_x000a_(Chi phí Ct)" dataDxfId="141"/>
    <tableColumn id="3" xr3:uid="{A087EF8C-1222-4ABA-8357-B23112E4E7A2}" name="Lợi nhuận_x000a_(Lợi ích Bt)" dataDxfId="140"/>
    <tableColumn id="4" xr3:uid="{76C9C43F-4613-489D-8491-70ECD1507B09}" name="Dòng tiền thuần tại giai đoạn t (lãi/lỗ)_x000a_CFt=Ct-  Bt " dataDxfId="139">
      <calculatedColumnFormula>Table1[[#This Row],[Lợi nhuận
(Lợi ích Bt)]]-Table1[[#This Row],[Đầu tư
(Chi phí Ct)]]</calculatedColumnFormula>
    </tableColumn>
    <tableColumn id="5" xr3:uid="{85A37FC1-62C2-4E29-AA34-71258E85233A}" name="Hệ số chiết khấu ​tại năm t_x000a_1/ (1+r)t" dataDxfId="138">
      <calculatedColumnFormula>1/(1+$B$1)^Table1[[#This Row],[Năm]]</calculatedColumnFormula>
    </tableColumn>
    <tableColumn id="6" xr3:uid="{0D7B6BE1-3197-4CC3-863C-8A241877776D}" name="Giá trị hiện tại: _x000a_PV(CFt)= CFt/(1+r)t" dataDxfId="137">
      <calculatedColumnFormula>Table1[[#This Row],[Dòng tiền thuần tại giai đoạn t (lãi/lỗ)
CFt=Ct-  Bt ]]*Table1[[#This Row],[Hệ số chiết khấu ​tại năm t
1/ (1+r)t]]</calculatedColumnFormula>
    </tableColumn>
    <tableColumn id="7" xr3:uid="{45749DDA-DA1A-47EF-8D36-056CA8B52F99}" name="Lũy kế CF_x000a_(Không chiết khấu)_x000a_∑t CFi_x000a_i=0 " dataDxfId="136">
      <calculatedColumnFormula>Table1[[#This Row],[Dòng tiền thuần tại giai đoạn t (lãi/lỗ)
CFt=Ct-  Bt ]]</calculatedColumnFormula>
    </tableColumn>
    <tableColumn id="8" xr3:uid="{E45D4550-4A66-44B7-A3B7-EDA37F11CBD0}" name="Lũy kế PV CF_x000a_(Có chiết khấu)_x000a_∑t CFt/(1+r)i_x000a_i=0 " dataDxfId="135">
      <calculatedColumnFormula>Table1[[#This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3E18D-EF1A-41F7-B22B-3BF34E456A9E}" name="Table2" displayName="Table2" ref="A13:H19" totalsRowShown="0" headerRowDxfId="134" dataDxfId="133">
  <autoFilter ref="A13:H19" xr:uid="{CD23E18D-EF1A-41F7-B22B-3BF34E456A9E}"/>
  <tableColumns count="8">
    <tableColumn id="1" xr3:uid="{28A34679-C703-4778-A2FA-64C13EB53CAE}" name="Năm" dataDxfId="132"/>
    <tableColumn id="2" xr3:uid="{169BD8F1-51B6-4DA3-9BBD-2CFFC8A23168}" name="Đầu tư_x000a_(Chi phí Ct)" dataDxfId="131"/>
    <tableColumn id="3" xr3:uid="{E623A0D2-2A84-4A08-936B-55FF66975FAB}" name="Lợi nhuận_x000a_(Lợi ích Bt)" dataDxfId="130"/>
    <tableColumn id="4" xr3:uid="{F1645727-45E2-4AB4-A678-D4BCA3DC7B7F}" name="Dòng tiền thuần tại giai đoạn t_x000a_CFt= Ct-  Bt " dataDxfId="129">
      <calculatedColumnFormula>Table2[[#This Row],[Lợi nhuận
(Lợi ích Bt)]]-Table2[[#This Row],[Đầu tư
(Chi phí Ct)]]</calculatedColumnFormula>
    </tableColumn>
    <tableColumn id="5" xr3:uid="{6C42255B-7C35-4ABB-A9BF-5191E84130F5}" name="Hệ số chiết khấu ​tại năm t_x000a_1/ (1+r)t" dataDxfId="128">
      <calculatedColumnFormula>1/(1+$B$1)^Table2[[#This Row],[Năm]]</calculatedColumnFormula>
    </tableColumn>
    <tableColumn id="6" xr3:uid="{21762731-6548-4B71-BE8E-6CE91B4072C5}" name="Giá trị hiện tại: _x000a_PV(CFt)= CFt/(1+r)t" dataDxfId="127">
      <calculatedColumnFormula>Table2[[#This Row],[Dòng tiền thuần tại giai đoạn t
CFt= Ct-  Bt ]]*Table2[[#This Row],[Hệ số chiết khấu ​tại năm t
1/ (1+r)t]]</calculatedColumnFormula>
    </tableColumn>
    <tableColumn id="7" xr3:uid="{FEC4A232-1425-4642-928B-DB014499DD2E}" name="Lũy kế CF_x000a_(Không chiết khấu)_x000a_∑t CFt_x000a_i=0 " dataDxfId="126">
      <calculatedColumnFormula>Table2[[#This Row],[Dòng tiền thuần tại giai đoạn t
CFt= Ct-  Bt ]]</calculatedColumnFormula>
    </tableColumn>
    <tableColumn id="8" xr3:uid="{4441F225-8A14-4F4E-A1AA-1EAF405DF7B9}" name="Lũy kế PV CF_x000a_(Có chiết khấu)_x000a_∑t CFt/(1+r)i_x000a_i=0 " dataDxfId="125">
      <calculatedColumnFormula>Table2[[#This Row],[Giá trị hiện tại: 
PV(CFt)= CFt/(1+r)t]]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9F9DB-463E-4799-8DE4-DABAE91D62A4}" name="Table3" displayName="Table3" ref="A22:I23" totalsRowShown="0" headerRowDxfId="124" dataDxfId="123">
  <autoFilter ref="A22:I23" xr:uid="{4759F9DB-463E-4799-8DE4-DABAE91D62A4}"/>
  <tableColumns count="9">
    <tableColumn id="8" xr3:uid="{ACF6C402-AC97-4140-9C9A-2452B4A033FD}" name="Dự án" dataDxfId="122"/>
    <tableColumn id="1" xr3:uid="{8AFDB37E-CD0B-4226-AF6B-ADEA6630F69A}" name="PV(B)= ∑tt=0  Bt/(1+r)t_x000a_" dataDxfId="121">
      <calculatedColumnFormula>SUMPRODUCT(Table1[Lợi nhuận
(Lợi ích Bt)],Table1[Hệ số chiết khấu ​tại năm t
1/ (1+r)t])</calculatedColumnFormula>
    </tableColumn>
    <tableColumn id="2" xr3:uid="{C169F34C-3C03-4BEA-B707-107AE13A32AA}" name="PV(C)= ∑tt=0  Ct/(1+r)t" dataDxfId="120">
      <calculatedColumnFormula>SUMPRODUCT(Table1[Đầu tư
(Chi phí Ct)],Table1[Hệ số chiết khấu ​tại năm t
1/ (1+r)t])</calculatedColumnFormula>
    </tableColumn>
    <tableColumn id="3" xr3:uid="{D2716E03-A63D-4B5A-95F5-E41FF7F031DA}" name="a) Giá trị hiện tại thuần_x000a_NPV= PV(B)-PV(C)" dataDxfId="119">
      <calculatedColumnFormula>Table3[[#This Row],[PV(B)= ∑tt=0  Bt/(1+r)t
]]-Table3[[#This Row],[PV(C)= ∑tt=0  Ct/(1+r)t]]</calculatedColumnFormula>
    </tableColumn>
    <tableColumn id="9" xr3:uid="{3FCB435F-1536-47E8-A16D-33893CC857EC}" name="b) Lợi nhuận trên một _x000a_đơn vị tiền tệ đầu tư_x000a_NPV/PV©" dataDxfId="118" dataCellStyle="Percent">
      <calculatedColumnFormula>Table3[[#This Row],[a) Giá trị hiện tại thuần
NPV= PV(B)-PV(C)]]/Table3[[#This Row],[PV(C)= ∑tt=0  Ct/(1+r)t]]</calculatedColumnFormula>
    </tableColumn>
    <tableColumn id="4" xr3:uid="{96C1434B-CFA8-4220-A05A-3E0EEA3C7D70}" name="Chỉ số lợi ích/chi phí_x000a_=PV(B)/PV(C)" dataDxfId="117" dataCellStyle="Percent">
      <calculatedColumnFormula>Table3[[#This Row],[PV(B)= ∑tt=0  Bt/(1+r)t
]]/Table3[[#This Row],[PV(C)= ∑tt=0  Ct/(1+r)t]]</calculatedColumnFormula>
    </tableColumn>
    <tableColumn id="5" xr3:uid="{102F1C99-B610-43E3-ADF4-B213BDBC1788}" name="Tỷ suất nội hoàn_x000a_0=∑t CFt/(1+IRR)t_x000a_     i=0 " dataDxfId="116" dataCellStyle="Comma">
      <calculatedColumnFormula>IRR($D$5:$D$10)</calculatedColumnFormula>
    </tableColumn>
    <tableColumn id="6" xr3:uid="{50619EC5-0E94-4B83-9695-538686DF59A3}" name="Payback năm _x000a_(không chiết khấu)" dataDxfId="115">
      <calculatedColumnFormula array="1">_xlfn.LET(_xlpm.c,$G$5:$G$10,
     _xlpm.pos,MATCH(TRUE,_xlpm.c&gt;=0,0),
     _xlpm.a,INDEX($A$5:$A$10,_xlpm.pos-1),
     _xlpm.b,-INDEX($G$5:$G$10,_xlpm.pos-1),
     _xlpm.cflow,INDEX($D$5:$D$10,_xlpm.pos),
     IFERROR(_xlpm.a + _xlpm.b/_xlpm.cflow,"Chưa hoàn vốn"))</calculatedColumnFormula>
    </tableColumn>
    <tableColumn id="7" xr3:uid="{3A3634DD-C219-4CB6-83B6-FC0637F7B17E}" name="Discoundted Payback" dataDxfId="114">
      <calculatedColumnFormula array="1">_xlfn.LET(_xlpm.c,$H$5:$H$10,
     _xlpm.pos,MATCH(TRUE,_xlpm.c&gt;=0,0),
     _xlpm.a,INDEX($A$5:$A$10,_xlpm.pos-1),
     _xlpm.b,-INDEX($H$5:$H$10,_xlpm.pos-1),
     _xlpm.cflow,INDEX($F$5:$F$10,_xlpm.pos),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F3A881-E7D3-4FF3-89EB-56ADA1F18043}" name="Table4" displayName="Table4" ref="A25:I26" totalsRowShown="0" headerRowDxfId="113" dataDxfId="112" tableBorderDxfId="111">
  <autoFilter ref="A25:I26" xr:uid="{DBF3A881-E7D3-4FF3-89EB-56ADA1F18043}"/>
  <tableColumns count="9">
    <tableColumn id="1" xr3:uid="{6D4BC152-B09F-45D3-94A6-FA66D0C9059E}" name="Dự án" dataDxfId="110"/>
    <tableColumn id="2" xr3:uid="{E6E80F52-C54F-449E-AEC5-436D6D6F3EF3}" name="PV(B)= ∑tt=0  Bt/(1+r)t_x000a_" dataDxfId="109">
      <calculatedColumnFormula>SUMPRODUCT(Table2[Lợi nhuận
(Lợi ích Bt)],Table2[Hệ số chiết khấu ​tại năm t
1/ (1+r)t])</calculatedColumnFormula>
    </tableColumn>
    <tableColumn id="3" xr3:uid="{47FD928F-EA1A-41CC-AD96-A606F6E5BE2C}" name="PV(C)= ∑tt=0  Ct/(1+r)t" dataDxfId="108">
      <calculatedColumnFormula>SUMPRODUCT(Table2[Đầu tư
(Chi phí Ct)],Table2[Hệ số chiết khấu ​tại năm t
1/ (1+r)t])</calculatedColumnFormula>
    </tableColumn>
    <tableColumn id="4" xr3:uid="{226DC381-87B3-4518-9DE6-2476B2992F0B}" name="a) Giá trị hiện tại thuần_x000a_NPV= PV(B)-PV(C)" dataDxfId="107">
      <calculatedColumnFormula>Table4[[#This Row],[PV(B)= ∑tt=0  Bt/(1+r)t
]]-Table4[[#This Row],[PV(C)= ∑tt=0  Ct/(1+r)t]]</calculatedColumnFormula>
    </tableColumn>
    <tableColumn id="9" xr3:uid="{BC6FD6E3-D968-4F22-AABE-E16DE74D5C68}" name="b) Lợi nhuận trên một đơn vị tiền tệ đầu tư_x000a_NPV/PV(C)" dataDxfId="106" dataCellStyle="Percent">
      <calculatedColumnFormula>Table4[[#This Row],[a) Giá trị hiện tại thuần
NPV= PV(B)-PV(C)]]/Table4[[#This Row],[PV(C)= ∑tt=0  Ct/(1+r)t]]</calculatedColumnFormula>
    </tableColumn>
    <tableColumn id="5" xr3:uid="{9FD0F0CA-9784-46D0-A31D-816B4059F83D}" name="Chỉ số lợi ích/chi phí_x000a_=PV(B)/PV©" dataDxfId="105" dataCellStyle="Percent">
      <calculatedColumnFormula>Table4[[#This Row],[PV(B)= ∑tt=0  Bt/(1+r)t
]]/Table4[[#This Row],[PV(C)= ∑tt=0  Ct/(1+r)t]]</calculatedColumnFormula>
    </tableColumn>
    <tableColumn id="6" xr3:uid="{D5140536-FEEF-48C5-A8DE-FCD81884F7AB}" name="Tỷ suất nội hoàn_x000a_0=∑t CFt/(1+IRR)t_x000a_     i=0 " dataDxfId="104" dataCellStyle="Comma">
      <calculatedColumnFormula>IRR($D$14:$D$19)</calculatedColumnFormula>
    </tableColumn>
    <tableColumn id="7" xr3:uid="{605813ED-36FA-4A27-A579-BC6F6A35EE80}" name="Payback năm _x000a_(không chiết khấu)" dataDxfId="103">
      <calculatedColumnFormula array="1">_xlfn.LET(_xlpm.c,Table2[Lũy kế CF
(Không chiết khấu)
∑t CFt
i=0 ],
     _xlpm.pos,MATCH(TRUE,_xlpm.c&gt;=0,0),
     _xlpm.a,INDEX($A$14:$A$19,_xlpm.pos-1),
     _xlpm.b,-INDEX(Table2[Lũy kế CF
(Không chiết khấu)
∑t CFt
i=0 ],_xlpm.pos-1),
     _xlpm.cflow,INDEX($D$14:$D$19,_xlpm.pos),
     IFERROR(_xlpm.a + _xlpm.b/_xlpm.cflow,"Chưa hoàn vốn"))</calculatedColumnFormula>
    </tableColumn>
    <tableColumn id="8" xr3:uid="{A094CEEE-90B5-4A80-942A-CFECFD897A40}" name="Discoundted Payback" dataDxfId="102">
      <calculatedColumnFormula array="1">_xlfn.LET(_xlpm.c,$H$14:$H$19,
     _xlpm.pos,MATCH(TRUE,_xlpm.c&gt;=0,0),
     _xlpm.a,INDEX($A$14:$A$19,_xlpm.pos-1),
     _xlpm.b,-INDEX($H$14:$H$19,_xlpm.pos-1),
     _xlpm.cflow,INDEX($F$14:$F$19,_xlpm.pos),
     IFERROR(_xlpm.a + _xlpm.b/_xlpm.cflow,"Chưa hoàn vốn"))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205-809C-4EE6-A62B-8BC1FEB8387B}">
  <dimension ref="A1:F28"/>
  <sheetViews>
    <sheetView tabSelected="1" zoomScale="81" workbookViewId="0">
      <selection activeCell="D23" sqref="D23"/>
    </sheetView>
  </sheetViews>
  <sheetFormatPr defaultRowHeight="16.5" x14ac:dyDescent="0.35"/>
  <cols>
    <col min="1" max="1" width="8.36328125" style="64" customWidth="1"/>
    <col min="2" max="2" width="28.36328125" style="64" bestFit="1" customWidth="1"/>
    <col min="3" max="3" width="30.36328125" style="65" bestFit="1" customWidth="1"/>
    <col min="4" max="4" width="23.453125" style="64" customWidth="1"/>
    <col min="5" max="5" width="15.36328125" style="64" customWidth="1"/>
    <col min="6" max="6" width="23.36328125" style="64" customWidth="1"/>
    <col min="7" max="16384" width="8.7265625" style="64"/>
  </cols>
  <sheetData>
    <row r="1" spans="1:6" x14ac:dyDescent="0.35">
      <c r="A1" s="64" t="s">
        <v>77</v>
      </c>
      <c r="C1" s="66">
        <v>0.12</v>
      </c>
    </row>
    <row r="2" spans="1:6" x14ac:dyDescent="0.35">
      <c r="A2" s="64" t="s">
        <v>71</v>
      </c>
    </row>
    <row r="3" spans="1:6" ht="33" x14ac:dyDescent="0.35">
      <c r="A3" s="57" t="s">
        <v>0</v>
      </c>
      <c r="B3" s="58" t="s">
        <v>75</v>
      </c>
      <c r="C3" s="59" t="s">
        <v>72</v>
      </c>
      <c r="D3" s="58" t="s">
        <v>73</v>
      </c>
      <c r="E3" s="58" t="s">
        <v>74</v>
      </c>
      <c r="F3" s="58" t="s">
        <v>76</v>
      </c>
    </row>
    <row r="4" spans="1:6" x14ac:dyDescent="0.35">
      <c r="A4" s="60">
        <v>0</v>
      </c>
      <c r="B4" s="61">
        <v>100000000</v>
      </c>
      <c r="C4" s="62" t="s">
        <v>42</v>
      </c>
      <c r="D4" s="56" t="s">
        <v>42</v>
      </c>
      <c r="E4" s="56" t="s">
        <v>42</v>
      </c>
      <c r="F4" s="56">
        <v>100000000</v>
      </c>
    </row>
    <row r="5" spans="1:6" x14ac:dyDescent="0.35">
      <c r="A5" s="60">
        <v>1</v>
      </c>
      <c r="B5" s="61">
        <f>F4</f>
        <v>100000000</v>
      </c>
      <c r="C5" s="62">
        <f>Table26[[#This Row],[Số dư đầu kỳ]]*$C$1</f>
        <v>12000000</v>
      </c>
      <c r="D5" s="56">
        <v>10000000</v>
      </c>
      <c r="E5" s="56">
        <f t="shared" ref="E5:E11" si="0">D5-C5</f>
        <v>-2000000</v>
      </c>
      <c r="F5" s="56">
        <f>B5-Table26[[#This Row],[Tiền gốc trả]]</f>
        <v>102000000</v>
      </c>
    </row>
    <row r="6" spans="1:6" x14ac:dyDescent="0.35">
      <c r="A6" s="60">
        <v>2</v>
      </c>
      <c r="B6" s="61">
        <f>F5</f>
        <v>102000000</v>
      </c>
      <c r="C6" s="62">
        <f>Table26[[#This Row],[Số dư đầu kỳ]]*$C$1</f>
        <v>12240000</v>
      </c>
      <c r="D6" s="56">
        <v>10000000</v>
      </c>
      <c r="E6" s="56">
        <f t="shared" si="0"/>
        <v>-2240000</v>
      </c>
      <c r="F6" s="56">
        <f>B6-Table26[[#This Row],[Tiền gốc trả]]</f>
        <v>104240000</v>
      </c>
    </row>
    <row r="7" spans="1:6" x14ac:dyDescent="0.35">
      <c r="A7" s="60">
        <v>3</v>
      </c>
      <c r="B7" s="61">
        <f>F6</f>
        <v>104240000</v>
      </c>
      <c r="C7" s="62">
        <f>Table26[[#This Row],[Số dư đầu kỳ]]*$C$1</f>
        <v>12508800</v>
      </c>
      <c r="D7" s="56">
        <v>10000000</v>
      </c>
      <c r="E7" s="56">
        <f t="shared" si="0"/>
        <v>-2508800</v>
      </c>
      <c r="F7" s="56">
        <f>B7-Table26[[#This Row],[Tiền gốc trả]]</f>
        <v>106748800</v>
      </c>
    </row>
    <row r="8" spans="1:6" x14ac:dyDescent="0.35">
      <c r="A8" s="60">
        <v>4</v>
      </c>
      <c r="B8" s="61">
        <f t="shared" ref="B8:B11" si="1">F7</f>
        <v>106748800</v>
      </c>
      <c r="C8" s="62">
        <f>Table26[[#This Row],[Số dư đầu kỳ]]*$C$1</f>
        <v>12809856</v>
      </c>
      <c r="D8" s="56">
        <v>10000000</v>
      </c>
      <c r="E8" s="56">
        <f t="shared" si="0"/>
        <v>-2809856</v>
      </c>
      <c r="F8" s="56">
        <f>B8-Table26[[#This Row],[Tiền gốc trả]]</f>
        <v>109558656</v>
      </c>
    </row>
    <row r="9" spans="1:6" x14ac:dyDescent="0.35">
      <c r="A9" s="60">
        <v>5</v>
      </c>
      <c r="B9" s="61">
        <f t="shared" si="1"/>
        <v>109558656</v>
      </c>
      <c r="C9" s="62">
        <f>Table26[[#This Row],[Số dư đầu kỳ]]*$C$1</f>
        <v>13147038.719999999</v>
      </c>
      <c r="D9" s="56">
        <v>10000000</v>
      </c>
      <c r="E9" s="56">
        <f t="shared" si="0"/>
        <v>-3147038.7199999988</v>
      </c>
      <c r="F9" s="56">
        <f>B9-Table26[[#This Row],[Tiền gốc trả]]</f>
        <v>112705694.72</v>
      </c>
    </row>
    <row r="10" spans="1:6" x14ac:dyDescent="0.35">
      <c r="A10" s="60">
        <v>6</v>
      </c>
      <c r="B10" s="61">
        <f t="shared" si="1"/>
        <v>112705694.72</v>
      </c>
      <c r="C10" s="62">
        <f>Table26[[#This Row],[Số dư đầu kỳ]]*$C$1</f>
        <v>13524683.3664</v>
      </c>
      <c r="D10" s="56">
        <v>10000000</v>
      </c>
      <c r="E10" s="56">
        <f>D10-C10</f>
        <v>-3524683.3663999997</v>
      </c>
      <c r="F10" s="56">
        <f>B10-Table26[[#This Row],[Tiền gốc trả]]</f>
        <v>116230378.0864</v>
      </c>
    </row>
    <row r="11" spans="1:6" x14ac:dyDescent="0.35">
      <c r="A11" s="60">
        <v>7</v>
      </c>
      <c r="B11" s="61">
        <f t="shared" si="1"/>
        <v>116230378.0864</v>
      </c>
      <c r="C11" s="62">
        <f>Table26[[#This Row],[Số dư đầu kỳ]]*$C$1</f>
        <v>13947645.370368</v>
      </c>
      <c r="D11" s="56">
        <v>10000000</v>
      </c>
      <c r="E11" s="56">
        <f t="shared" si="0"/>
        <v>-3947645.3703680001</v>
      </c>
      <c r="F11" s="56">
        <f>B11-Table26[[#This Row],[Tiền gốc trả]]</f>
        <v>120178023.45676801</v>
      </c>
    </row>
    <row r="13" spans="1:6" x14ac:dyDescent="0.35">
      <c r="A13" s="64" t="s">
        <v>78</v>
      </c>
    </row>
    <row r="14" spans="1:6" x14ac:dyDescent="0.35">
      <c r="A14" s="57" t="s">
        <v>0</v>
      </c>
      <c r="B14" s="58" t="s">
        <v>75</v>
      </c>
      <c r="C14" s="59" t="s">
        <v>72</v>
      </c>
      <c r="D14" s="58" t="s">
        <v>79</v>
      </c>
      <c r="E14" s="58" t="s">
        <v>74</v>
      </c>
      <c r="F14" s="58" t="s">
        <v>76</v>
      </c>
    </row>
    <row r="15" spans="1:6" x14ac:dyDescent="0.35">
      <c r="A15" s="60">
        <v>8</v>
      </c>
      <c r="B15" s="61">
        <f>F11</f>
        <v>120178023.45676801</v>
      </c>
      <c r="C15" s="62">
        <f>Table2628[[#This Row],[Số dư đầu kỳ]]*$C$1</f>
        <v>14421362.814812161</v>
      </c>
      <c r="D15" s="63">
        <f>$B$22</f>
        <v>33338553.272347104</v>
      </c>
      <c r="E15" s="56">
        <f>Table2628[[#This Row],[Khoản trả ]]-Table2628[[#This Row],[Tiền lãi (12%)]]</f>
        <v>18917190.457534943</v>
      </c>
      <c r="F15" s="56">
        <f>Table2628[[#This Row],[Số dư đầu kỳ]]+Table2628[[#This Row],[Tiền lãi (12%)]]-Table2628[[#This Row],[Khoản trả ]]</f>
        <v>101260832.99923305</v>
      </c>
    </row>
    <row r="16" spans="1:6" x14ac:dyDescent="0.35">
      <c r="A16" s="60">
        <v>9</v>
      </c>
      <c r="B16" s="61">
        <f>F15</f>
        <v>101260832.99923305</v>
      </c>
      <c r="C16" s="62">
        <f>Table2628[[#This Row],[Số dư đầu kỳ]]*$C$1</f>
        <v>12151299.959907966</v>
      </c>
      <c r="D16" s="63">
        <f t="shared" ref="D16:D19" si="2">$B$22</f>
        <v>33338553.272347104</v>
      </c>
      <c r="E16" s="56">
        <f>Table2628[[#This Row],[Khoản trả ]]-Table2628[[#This Row],[Tiền lãi (12%)]]</f>
        <v>21187253.312439136</v>
      </c>
      <c r="F16" s="56">
        <f>B16-Table2628[[#This Row],[Tiền gốc trả]]</f>
        <v>80073579.686793923</v>
      </c>
    </row>
    <row r="17" spans="1:6" x14ac:dyDescent="0.35">
      <c r="A17" s="60">
        <v>10</v>
      </c>
      <c r="B17" s="61">
        <f>F16</f>
        <v>80073579.686793923</v>
      </c>
      <c r="C17" s="62">
        <f>Table2628[[#This Row],[Số dư đầu kỳ]]*$C$1</f>
        <v>9608829.5624152701</v>
      </c>
      <c r="D17" s="63">
        <f t="shared" si="2"/>
        <v>33338553.272347104</v>
      </c>
      <c r="E17" s="56">
        <f>Table2628[[#This Row],[Khoản trả ]]-Table2628[[#This Row],[Tiền lãi (12%)]]</f>
        <v>23729723.709931836</v>
      </c>
      <c r="F17" s="56">
        <f>B17-Table2628[[#This Row],[Tiền gốc trả]]</f>
        <v>56343855.976862088</v>
      </c>
    </row>
    <row r="18" spans="1:6" x14ac:dyDescent="0.35">
      <c r="A18" s="60">
        <v>11</v>
      </c>
      <c r="B18" s="61">
        <f>F17</f>
        <v>56343855.976862088</v>
      </c>
      <c r="C18" s="62">
        <f>Table2628[[#This Row],[Số dư đầu kỳ]]*$C$1</f>
        <v>6761262.7172234505</v>
      </c>
      <c r="D18" s="63">
        <f t="shared" si="2"/>
        <v>33338553.272347104</v>
      </c>
      <c r="E18" s="56">
        <f>Table2628[[#This Row],[Khoản trả ]]-Table2628[[#This Row],[Tiền lãi (12%)]]</f>
        <v>26577290.555123653</v>
      </c>
      <c r="F18" s="56">
        <f>B18-Table2628[[#This Row],[Tiền gốc trả]]</f>
        <v>29766565.421738435</v>
      </c>
    </row>
    <row r="19" spans="1:6" x14ac:dyDescent="0.35">
      <c r="A19" s="60">
        <v>12</v>
      </c>
      <c r="B19" s="61">
        <f t="shared" ref="B19" si="3">F18</f>
        <v>29766565.421738435</v>
      </c>
      <c r="C19" s="62">
        <f>Table2628[[#This Row],[Số dư đầu kỳ]]*$C$1</f>
        <v>3571987.8506086119</v>
      </c>
      <c r="D19" s="63">
        <f t="shared" si="2"/>
        <v>33338553.272347104</v>
      </c>
      <c r="E19" s="56">
        <f>Table2628[[#This Row],[Khoản trả ]]-Table2628[[#This Row],[Tiền lãi (12%)]]</f>
        <v>29766565.42173849</v>
      </c>
      <c r="F19" s="56">
        <f>B19-Table2628[[#This Row],[Tiền gốc trả]]</f>
        <v>-5.5879354476928711E-8</v>
      </c>
    </row>
    <row r="21" spans="1:6" x14ac:dyDescent="0.35">
      <c r="A21" s="67"/>
      <c r="B21" s="68" t="s">
        <v>80</v>
      </c>
      <c r="C21" s="68" t="s">
        <v>82</v>
      </c>
    </row>
    <row r="22" spans="1:6" ht="16" customHeight="1" x14ac:dyDescent="0.35">
      <c r="B22" s="69">
        <f>ABS(PMT($C$1,5,$F$11,0,0))</f>
        <v>33338553.272347104</v>
      </c>
      <c r="C22" s="69">
        <f>5*B22</f>
        <v>166692766.36173552</v>
      </c>
    </row>
    <row r="23" spans="1:6" ht="23" customHeight="1" x14ac:dyDescent="0.35">
      <c r="A23" s="70" t="s">
        <v>81</v>
      </c>
      <c r="B23" s="71"/>
    </row>
    <row r="24" spans="1:6" ht="23" customHeight="1" x14ac:dyDescent="0.35">
      <c r="A24" s="71"/>
      <c r="B24" s="71"/>
    </row>
    <row r="25" spans="1:6" ht="23" customHeight="1" x14ac:dyDescent="0.35">
      <c r="A25" s="71"/>
      <c r="B25" s="71"/>
    </row>
    <row r="26" spans="1:6" ht="23" customHeight="1" x14ac:dyDescent="0.35">
      <c r="A26" s="71"/>
      <c r="B26" s="71"/>
    </row>
    <row r="27" spans="1:6" ht="23" customHeight="1" x14ac:dyDescent="0.35">
      <c r="A27" s="71"/>
      <c r="B27" s="71"/>
    </row>
    <row r="28" spans="1:6" ht="23" customHeight="1" x14ac:dyDescent="0.35">
      <c r="A28" s="71"/>
      <c r="B28" s="71"/>
    </row>
  </sheetData>
  <mergeCells count="1">
    <mergeCell ref="A23:B28"/>
  </mergeCells>
  <pageMargins left="0.7" right="0.7" top="0.75" bottom="0.75" header="0.3" footer="0.3"/>
  <ignoredErrors>
    <ignoredError sqref="C5:C11 C16:C19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8CE-735E-4F64-89FD-C9CBAADE51F4}">
  <dimension ref="A1:F15"/>
  <sheetViews>
    <sheetView workbookViewId="0">
      <selection activeCell="A15" sqref="A15"/>
    </sheetView>
  </sheetViews>
  <sheetFormatPr defaultRowHeight="14.5" x14ac:dyDescent="0.35"/>
  <cols>
    <col min="1" max="1" width="9.7265625" bestFit="1" customWidth="1"/>
    <col min="2" max="2" width="14.81640625" customWidth="1"/>
    <col min="3" max="3" width="16.90625" customWidth="1"/>
    <col min="4" max="4" width="12.453125" bestFit="1" customWidth="1"/>
  </cols>
  <sheetData>
    <row r="1" spans="1:6" ht="43.5" x14ac:dyDescent="0.35">
      <c r="A1" s="54" t="s">
        <v>64</v>
      </c>
      <c r="B1" s="54" t="s">
        <v>65</v>
      </c>
      <c r="C1" s="54" t="s">
        <v>66</v>
      </c>
      <c r="D1" s="50" t="s">
        <v>67</v>
      </c>
      <c r="F1" t="s">
        <v>68</v>
      </c>
    </row>
    <row r="2" spans="1:6" x14ac:dyDescent="0.35">
      <c r="A2">
        <v>1</v>
      </c>
      <c r="B2">
        <v>25</v>
      </c>
      <c r="C2" s="53">
        <f>1/(1+1.5%)^A2</f>
        <v>0.98522167487684742</v>
      </c>
      <c r="D2" s="53">
        <f>B2*C2</f>
        <v>24.630541871921185</v>
      </c>
    </row>
    <row r="3" spans="1:6" x14ac:dyDescent="0.35">
      <c r="A3">
        <v>2</v>
      </c>
      <c r="B3">
        <v>25</v>
      </c>
      <c r="C3" s="53">
        <f t="shared" ref="C3:C13" si="0">1/(1+1.5%)^A3</f>
        <v>0.9706617486471405</v>
      </c>
      <c r="D3" s="53">
        <f t="shared" ref="D3:D13" si="1">B3*C3</f>
        <v>24.266543716178511</v>
      </c>
    </row>
    <row r="4" spans="1:6" x14ac:dyDescent="0.35">
      <c r="A4">
        <v>3</v>
      </c>
      <c r="B4">
        <v>25</v>
      </c>
      <c r="C4" s="53">
        <f t="shared" si="0"/>
        <v>0.95631699374102519</v>
      </c>
      <c r="D4" s="53">
        <f t="shared" si="1"/>
        <v>23.907924843525631</v>
      </c>
    </row>
    <row r="5" spans="1:6" x14ac:dyDescent="0.35">
      <c r="A5">
        <v>4</v>
      </c>
      <c r="B5">
        <v>25</v>
      </c>
      <c r="C5" s="53">
        <f t="shared" si="0"/>
        <v>0.94218423028672449</v>
      </c>
      <c r="D5" s="53">
        <f t="shared" si="1"/>
        <v>23.554605757168112</v>
      </c>
    </row>
    <row r="6" spans="1:6" x14ac:dyDescent="0.35">
      <c r="A6">
        <v>5</v>
      </c>
      <c r="B6">
        <v>25</v>
      </c>
      <c r="C6" s="53">
        <f t="shared" si="0"/>
        <v>0.92826032540563996</v>
      </c>
      <c r="D6" s="53">
        <f t="shared" si="1"/>
        <v>23.206508135141</v>
      </c>
    </row>
    <row r="7" spans="1:6" x14ac:dyDescent="0.35">
      <c r="A7">
        <v>6</v>
      </c>
      <c r="B7">
        <v>25</v>
      </c>
      <c r="C7" s="53">
        <f t="shared" si="0"/>
        <v>0.91454219251787205</v>
      </c>
      <c r="D7" s="53">
        <f t="shared" si="1"/>
        <v>22.863554812946802</v>
      </c>
    </row>
    <row r="8" spans="1:6" x14ac:dyDescent="0.35">
      <c r="A8">
        <v>7</v>
      </c>
      <c r="B8">
        <v>25</v>
      </c>
      <c r="C8" s="53">
        <f t="shared" si="0"/>
        <v>0.90102679065800217</v>
      </c>
      <c r="D8" s="53">
        <f t="shared" si="1"/>
        <v>22.525669766450054</v>
      </c>
    </row>
    <row r="9" spans="1:6" x14ac:dyDescent="0.35">
      <c r="A9">
        <v>8</v>
      </c>
      <c r="B9">
        <v>25</v>
      </c>
      <c r="C9" s="53">
        <f t="shared" si="0"/>
        <v>0.88771112380098749</v>
      </c>
      <c r="D9" s="53">
        <f t="shared" si="1"/>
        <v>22.192778095024686</v>
      </c>
    </row>
    <row r="10" spans="1:6" x14ac:dyDescent="0.35">
      <c r="A10">
        <v>9</v>
      </c>
      <c r="B10">
        <v>25</v>
      </c>
      <c r="C10" s="53">
        <f t="shared" si="0"/>
        <v>0.87459224019801729</v>
      </c>
      <c r="D10" s="53">
        <f t="shared" si="1"/>
        <v>21.864806004950431</v>
      </c>
    </row>
    <row r="11" spans="1:6" x14ac:dyDescent="0.35">
      <c r="A11">
        <v>10</v>
      </c>
      <c r="B11">
        <v>25</v>
      </c>
      <c r="C11" s="53">
        <f t="shared" si="0"/>
        <v>0.86166723172218462</v>
      </c>
      <c r="D11" s="53">
        <f t="shared" si="1"/>
        <v>21.541680793054617</v>
      </c>
    </row>
    <row r="12" spans="1:6" x14ac:dyDescent="0.35">
      <c r="A12">
        <v>11</v>
      </c>
      <c r="B12">
        <v>25</v>
      </c>
      <c r="C12" s="53">
        <f t="shared" si="0"/>
        <v>0.8489332332238273</v>
      </c>
      <c r="D12" s="53">
        <f t="shared" si="1"/>
        <v>21.223330830595682</v>
      </c>
    </row>
    <row r="13" spans="1:6" x14ac:dyDescent="0.35">
      <c r="A13">
        <v>12</v>
      </c>
      <c r="B13">
        <v>25</v>
      </c>
      <c r="C13" s="53">
        <f t="shared" si="0"/>
        <v>0.83638742189539661</v>
      </c>
      <c r="D13" s="53">
        <f t="shared" si="1"/>
        <v>20.909685547384914</v>
      </c>
    </row>
    <row r="14" spans="1:6" x14ac:dyDescent="0.35">
      <c r="A14" s="55" t="s">
        <v>69</v>
      </c>
      <c r="C14" s="53"/>
      <c r="D14" s="53">
        <f>SUM(D2:D13)</f>
        <v>272.68763017434162</v>
      </c>
    </row>
    <row r="15" spans="1:6" x14ac:dyDescent="0.35">
      <c r="A15" t="s">
        <v>70</v>
      </c>
      <c r="B15" s="52"/>
      <c r="C15" s="53"/>
      <c r="D15" s="53">
        <f>D14+200</f>
        <v>472.68763017434162</v>
      </c>
    </row>
  </sheetData>
  <pageMargins left="0.7" right="0.7" top="0.75" bottom="0.75" header="0.3" footer="0.3"/>
  <ignoredErrors>
    <ignoredError sqref="D14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1811-8665-40AA-A169-0C470B78E654}">
  <dimension ref="A1:H27"/>
  <sheetViews>
    <sheetView zoomScale="89" workbookViewId="0">
      <selection activeCell="E32" sqref="E32"/>
    </sheetView>
  </sheetViews>
  <sheetFormatPr defaultRowHeight="14.5" x14ac:dyDescent="0.35"/>
  <cols>
    <col min="1" max="1" width="9.453125" bestFit="1" customWidth="1"/>
    <col min="2" max="2" width="11.08984375" bestFit="1" customWidth="1"/>
    <col min="3" max="3" width="14.36328125" bestFit="1" customWidth="1"/>
    <col min="5" max="5" width="13.1796875" customWidth="1"/>
    <col min="6" max="6" width="12.453125" bestFit="1" customWidth="1"/>
    <col min="7" max="7" width="30" customWidth="1"/>
    <col min="8" max="8" width="14.26953125" customWidth="1"/>
  </cols>
  <sheetData>
    <row r="1" spans="1:8" ht="44" thickBot="1" x14ac:dyDescent="0.4">
      <c r="A1" s="45" t="s">
        <v>49</v>
      </c>
      <c r="B1" s="44" t="s">
        <v>54</v>
      </c>
      <c r="C1" s="44" t="s">
        <v>55</v>
      </c>
      <c r="D1" s="44" t="s">
        <v>56</v>
      </c>
      <c r="E1" s="44" t="s">
        <v>57</v>
      </c>
      <c r="F1" s="44" t="s">
        <v>58</v>
      </c>
      <c r="G1" s="44" t="s">
        <v>59</v>
      </c>
      <c r="H1" s="44" t="s">
        <v>60</v>
      </c>
    </row>
    <row r="2" spans="1:8" ht="15" thickBot="1" x14ac:dyDescent="0.4">
      <c r="A2" s="46" t="s">
        <v>50</v>
      </c>
      <c r="B2" s="47">
        <v>2</v>
      </c>
      <c r="C2" s="47">
        <v>5</v>
      </c>
      <c r="D2" s="47">
        <v>4</v>
      </c>
      <c r="E2" s="47">
        <v>3</v>
      </c>
      <c r="F2" s="47">
        <v>1</v>
      </c>
      <c r="G2" s="47">
        <v>3</v>
      </c>
      <c r="H2" s="46"/>
    </row>
    <row r="3" spans="1:8" x14ac:dyDescent="0.35">
      <c r="A3" t="s">
        <v>1</v>
      </c>
      <c r="B3">
        <v>9</v>
      </c>
      <c r="C3">
        <v>5</v>
      </c>
      <c r="D3">
        <v>2</v>
      </c>
      <c r="E3">
        <v>0</v>
      </c>
      <c r="F3">
        <v>2</v>
      </c>
      <c r="G3">
        <v>5</v>
      </c>
    </row>
    <row r="4" spans="1:8" x14ac:dyDescent="0.35">
      <c r="A4" t="s">
        <v>2</v>
      </c>
      <c r="B4">
        <v>2</v>
      </c>
      <c r="C4">
        <v>6</v>
      </c>
      <c r="D4">
        <v>2</v>
      </c>
      <c r="E4">
        <v>0</v>
      </c>
      <c r="F4">
        <v>5</v>
      </c>
      <c r="G4">
        <v>1</v>
      </c>
    </row>
    <row r="5" spans="1:8" x14ac:dyDescent="0.35">
      <c r="A5" t="s">
        <v>51</v>
      </c>
      <c r="B5">
        <v>6</v>
      </c>
      <c r="C5">
        <v>8</v>
      </c>
      <c r="D5">
        <v>2</v>
      </c>
      <c r="E5">
        <v>2</v>
      </c>
      <c r="F5">
        <v>6</v>
      </c>
    </row>
    <row r="6" spans="1:8" x14ac:dyDescent="0.35">
      <c r="A6" t="s">
        <v>52</v>
      </c>
      <c r="B6">
        <v>1</v>
      </c>
      <c r="C6">
        <v>1</v>
      </c>
      <c r="D6">
        <v>5</v>
      </c>
      <c r="E6">
        <v>10</v>
      </c>
      <c r="F6">
        <v>5</v>
      </c>
    </row>
    <row r="7" spans="1:8" x14ac:dyDescent="0.35">
      <c r="A7" t="s">
        <v>53</v>
      </c>
      <c r="B7">
        <v>3</v>
      </c>
      <c r="C7">
        <v>10</v>
      </c>
      <c r="D7">
        <v>9</v>
      </c>
      <c r="E7">
        <v>1</v>
      </c>
      <c r="F7">
        <v>8</v>
      </c>
      <c r="G7">
        <v>0</v>
      </c>
    </row>
    <row r="9" spans="1:8" ht="46.5" customHeight="1" x14ac:dyDescent="0.35">
      <c r="A9" s="49" t="s">
        <v>61</v>
      </c>
      <c r="B9" s="49"/>
      <c r="C9" s="49"/>
      <c r="D9" s="48" t="s">
        <v>62</v>
      </c>
      <c r="E9" s="48"/>
      <c r="F9" s="43"/>
    </row>
    <row r="10" spans="1:8" ht="44" thickBot="1" x14ac:dyDescent="0.4">
      <c r="A10" s="45" t="s">
        <v>49</v>
      </c>
      <c r="B10" s="44" t="s">
        <v>54</v>
      </c>
      <c r="C10" s="44" t="s">
        <v>55</v>
      </c>
      <c r="D10" s="44" t="s">
        <v>56</v>
      </c>
      <c r="E10" s="44" t="s">
        <v>57</v>
      </c>
      <c r="F10" s="44" t="s">
        <v>58</v>
      </c>
      <c r="G10" s="44" t="s">
        <v>59</v>
      </c>
      <c r="H10" s="44" t="s">
        <v>60</v>
      </c>
    </row>
    <row r="11" spans="1:8" ht="15" thickBot="1" x14ac:dyDescent="0.4">
      <c r="A11" s="46" t="s">
        <v>50</v>
      </c>
      <c r="B11" s="47">
        <v>2</v>
      </c>
      <c r="C11" s="47">
        <v>5</v>
      </c>
      <c r="D11" s="47">
        <v>4</v>
      </c>
      <c r="E11" s="47">
        <v>3</v>
      </c>
      <c r="F11" s="47">
        <v>1</v>
      </c>
      <c r="G11" s="47">
        <v>3</v>
      </c>
      <c r="H11" s="46"/>
    </row>
    <row r="12" spans="1:8" x14ac:dyDescent="0.35">
      <c r="A12" t="s">
        <v>1</v>
      </c>
      <c r="B12">
        <f>9*2</f>
        <v>18</v>
      </c>
      <c r="C12">
        <v>25</v>
      </c>
      <c r="D12">
        <v>8</v>
      </c>
      <c r="E12">
        <v>0</v>
      </c>
      <c r="F12">
        <v>2</v>
      </c>
      <c r="G12">
        <v>15</v>
      </c>
      <c r="H12">
        <f>SUM(Table2224[[#This Row],[Nhà tài
trợ mạnh]:[Lấp dầy khoảng trống thị trường]])</f>
        <v>68</v>
      </c>
    </row>
    <row r="13" spans="1:8" x14ac:dyDescent="0.35">
      <c r="A13" t="s">
        <v>2</v>
      </c>
      <c r="B13">
        <f>2*2</f>
        <v>4</v>
      </c>
      <c r="C13">
        <v>30</v>
      </c>
      <c r="D13">
        <v>8</v>
      </c>
      <c r="E13">
        <v>0</v>
      </c>
      <c r="F13">
        <v>5</v>
      </c>
      <c r="G13">
        <v>3</v>
      </c>
      <c r="H13">
        <f>SUM(Table2224[[#This Row],[Nhà tài
trợ mạnh]:[Lấp dầy khoảng trống thị trường]])</f>
        <v>50</v>
      </c>
    </row>
    <row r="14" spans="1:8" x14ac:dyDescent="0.35">
      <c r="A14" t="s">
        <v>51</v>
      </c>
      <c r="B14">
        <v>12</v>
      </c>
      <c r="C14">
        <v>40</v>
      </c>
      <c r="D14">
        <v>8</v>
      </c>
      <c r="E14">
        <v>6</v>
      </c>
      <c r="F14">
        <v>6</v>
      </c>
      <c r="H14">
        <f>SUM(Table2224[[#This Row],[Nhà tài
trợ mạnh]:[Lấp dầy khoảng trống thị trường]])</f>
        <v>72</v>
      </c>
    </row>
    <row r="15" spans="1:8" x14ac:dyDescent="0.35">
      <c r="A15" t="s">
        <v>52</v>
      </c>
      <c r="B15">
        <v>2</v>
      </c>
      <c r="C15">
        <v>5</v>
      </c>
      <c r="D15">
        <v>20</v>
      </c>
      <c r="E15">
        <v>30</v>
      </c>
      <c r="F15">
        <v>5</v>
      </c>
      <c r="H15">
        <f>SUM(Table2224[[#This Row],[Nhà tài
trợ mạnh]:[Lấp dầy khoảng trống thị trường]])</f>
        <v>62</v>
      </c>
    </row>
    <row r="16" spans="1:8" x14ac:dyDescent="0.35">
      <c r="A16" t="s">
        <v>53</v>
      </c>
      <c r="B16">
        <v>6</v>
      </c>
      <c r="C16">
        <v>50</v>
      </c>
      <c r="D16">
        <v>36</v>
      </c>
      <c r="E16">
        <v>3</v>
      </c>
      <c r="F16">
        <v>8</v>
      </c>
      <c r="G16">
        <v>0</v>
      </c>
      <c r="H16">
        <f>SUM(Table2224[[#This Row],[Nhà tài
trợ mạnh]:[Lấp dầy khoảng trống thị trường]])</f>
        <v>103</v>
      </c>
    </row>
    <row r="18" spans="1:8" x14ac:dyDescent="0.35">
      <c r="A18" s="51" t="s">
        <v>63</v>
      </c>
      <c r="B18" s="51"/>
      <c r="C18" s="51"/>
      <c r="D18" s="51"/>
      <c r="E18" s="51"/>
      <c r="F18" s="51"/>
      <c r="G18" s="51"/>
      <c r="H18" s="51"/>
    </row>
    <row r="19" spans="1:8" x14ac:dyDescent="0.35">
      <c r="A19" s="51"/>
      <c r="B19" s="51"/>
      <c r="C19" s="51"/>
      <c r="D19" s="51"/>
      <c r="E19" s="51"/>
      <c r="F19" s="51"/>
      <c r="G19" s="51"/>
      <c r="H19" s="51"/>
    </row>
    <row r="21" spans="1:8" ht="44" thickBot="1" x14ac:dyDescent="0.4">
      <c r="A21" s="45" t="s">
        <v>49</v>
      </c>
      <c r="B21" s="44" t="s">
        <v>54</v>
      </c>
      <c r="C21" s="44" t="s">
        <v>55</v>
      </c>
      <c r="D21" s="44" t="s">
        <v>56</v>
      </c>
      <c r="E21" s="44" t="s">
        <v>57</v>
      </c>
      <c r="F21" s="44" t="s">
        <v>58</v>
      </c>
      <c r="G21" s="44" t="s">
        <v>59</v>
      </c>
      <c r="H21" s="44" t="s">
        <v>60</v>
      </c>
    </row>
    <row r="22" spans="1:8" ht="15" thickBot="1" x14ac:dyDescent="0.4">
      <c r="A22" s="46" t="s">
        <v>50</v>
      </c>
      <c r="B22" s="47">
        <v>5</v>
      </c>
      <c r="C22" s="47">
        <v>5</v>
      </c>
      <c r="D22" s="47">
        <v>4</v>
      </c>
      <c r="E22" s="47">
        <v>3</v>
      </c>
      <c r="F22" s="47">
        <v>1</v>
      </c>
      <c r="G22" s="47">
        <v>3</v>
      </c>
      <c r="H22" s="46"/>
    </row>
    <row r="23" spans="1:8" x14ac:dyDescent="0.35">
      <c r="A23" t="s">
        <v>1</v>
      </c>
      <c r="B23">
        <f>9*5</f>
        <v>45</v>
      </c>
      <c r="C23">
        <v>25</v>
      </c>
      <c r="D23">
        <v>8</v>
      </c>
      <c r="E23">
        <v>0</v>
      </c>
      <c r="F23">
        <v>2</v>
      </c>
      <c r="G23">
        <v>15</v>
      </c>
      <c r="H23">
        <f>SUM(Table222425[[#This Row],[Nhà tài
trợ mạnh]:[Lấp dầy khoảng trống thị trường]])</f>
        <v>95</v>
      </c>
    </row>
    <row r="24" spans="1:8" x14ac:dyDescent="0.35">
      <c r="A24" t="s">
        <v>2</v>
      </c>
      <c r="B24">
        <v>10</v>
      </c>
      <c r="C24">
        <v>30</v>
      </c>
      <c r="D24">
        <v>8</v>
      </c>
      <c r="E24">
        <v>0</v>
      </c>
      <c r="F24">
        <v>5</v>
      </c>
      <c r="G24">
        <v>3</v>
      </c>
      <c r="H24">
        <f>SUM(Table222425[[#This Row],[Nhà tài
trợ mạnh]:[Lấp dầy khoảng trống thị trường]])</f>
        <v>56</v>
      </c>
    </row>
    <row r="25" spans="1:8" x14ac:dyDescent="0.35">
      <c r="A25" t="s">
        <v>51</v>
      </c>
      <c r="B25">
        <v>30</v>
      </c>
      <c r="C25">
        <v>40</v>
      </c>
      <c r="D25">
        <v>8</v>
      </c>
      <c r="E25">
        <v>6</v>
      </c>
      <c r="F25">
        <v>6</v>
      </c>
      <c r="H25">
        <f>SUM(Table222425[[#This Row],[Nhà tài
trợ mạnh]:[Lấp dầy khoảng trống thị trường]])</f>
        <v>90</v>
      </c>
    </row>
    <row r="26" spans="1:8" x14ac:dyDescent="0.35">
      <c r="A26" t="s">
        <v>52</v>
      </c>
      <c r="B26">
        <v>5</v>
      </c>
      <c r="C26">
        <v>5</v>
      </c>
      <c r="D26">
        <v>20</v>
      </c>
      <c r="E26">
        <v>30</v>
      </c>
      <c r="F26">
        <v>5</v>
      </c>
      <c r="H26">
        <f>SUM(Table222425[[#This Row],[Nhà tài
trợ mạnh]:[Lấp dầy khoảng trống thị trường]])</f>
        <v>65</v>
      </c>
    </row>
    <row r="27" spans="1:8" x14ac:dyDescent="0.35">
      <c r="A27" t="s">
        <v>53</v>
      </c>
      <c r="B27">
        <v>15</v>
      </c>
      <c r="C27">
        <v>50</v>
      </c>
      <c r="D27">
        <v>36</v>
      </c>
      <c r="E27">
        <v>3</v>
      </c>
      <c r="F27">
        <v>8</v>
      </c>
      <c r="G27">
        <v>0</v>
      </c>
      <c r="H27">
        <f>SUM(Table222425[[#This Row],[Nhà tài
trợ mạnh]:[Lấp dầy khoảng trống thị trường]])</f>
        <v>112</v>
      </c>
    </row>
  </sheetData>
  <mergeCells count="3">
    <mergeCell ref="A9:C9"/>
    <mergeCell ref="D9:E9"/>
    <mergeCell ref="A18:H19"/>
  </mergeCells>
  <phoneticPr fontId="27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A6DF-A818-4053-BD53-CDC51E8F4A1D}">
  <dimension ref="A1:I31"/>
  <sheetViews>
    <sheetView zoomScale="60" zoomScaleNormal="100" workbookViewId="0">
      <selection activeCell="C10" sqref="C10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15.1796875" style="3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7" ht="33" x14ac:dyDescent="0.35">
      <c r="A1" s="1" t="s">
        <v>3</v>
      </c>
      <c r="B1" s="2">
        <v>0.17</v>
      </c>
    </row>
    <row r="2" spans="1:7" x14ac:dyDescent="0.35">
      <c r="A2" s="4"/>
    </row>
    <row r="3" spans="1:7" x14ac:dyDescent="0.35">
      <c r="A3" s="5"/>
      <c r="G3" s="3" t="s">
        <v>43</v>
      </c>
    </row>
    <row r="4" spans="1:7" ht="53" x14ac:dyDescent="0.35">
      <c r="A4" s="3" t="s">
        <v>0</v>
      </c>
      <c r="B4" s="1" t="s">
        <v>4</v>
      </c>
      <c r="C4" s="1" t="s">
        <v>45</v>
      </c>
      <c r="D4" s="1" t="s">
        <v>46</v>
      </c>
      <c r="E4" s="27" t="s">
        <v>47</v>
      </c>
      <c r="F4" s="1" t="s">
        <v>38</v>
      </c>
      <c r="G4" s="1" t="s">
        <v>39</v>
      </c>
    </row>
    <row r="5" spans="1:7" x14ac:dyDescent="0.35">
      <c r="A5" s="5">
        <v>2</v>
      </c>
      <c r="B5" s="5">
        <v>100</v>
      </c>
      <c r="C5" s="39" cm="1">
        <f t="array" ref="C5">Table3814172022[[Năm trả gộp ]]-Table1612161921[[#This Row],[Năm]]</f>
        <v>1</v>
      </c>
      <c r="D5" s="40">
        <f>(1+$B$1)^C5</f>
        <v>1.17</v>
      </c>
      <c r="E5" s="34">
        <f t="shared" ref="E5:E6" si="0">IF(C5&gt;=0, B5*(1+$B$1)^C5, B5/(1+$B$1)^ABS(C5))</f>
        <v>117</v>
      </c>
      <c r="F5" s="33"/>
      <c r="G5" s="35"/>
    </row>
    <row r="6" spans="1:7" x14ac:dyDescent="0.35">
      <c r="A6" s="5">
        <v>5</v>
      </c>
      <c r="B6" s="5">
        <v>300</v>
      </c>
      <c r="C6" s="39" cm="1">
        <f t="array" ref="C6">Table3814172022[[Năm trả gộp ]]-Table1612161921[[#This Row],[Năm]]</f>
        <v>-2</v>
      </c>
      <c r="D6" s="40">
        <f>(1+$B$1)^C6</f>
        <v>0.73051355102637161</v>
      </c>
      <c r="E6" s="34">
        <f>IF(C6&gt;=0, B6*(1+$B$1)^C6, B6/(1+$B$1)^ABS(C6))</f>
        <v>219.15406530791151</v>
      </c>
      <c r="F6" s="33"/>
      <c r="G6" s="33"/>
    </row>
    <row r="7" spans="1:7" x14ac:dyDescent="0.35">
      <c r="A7" s="5"/>
      <c r="B7" s="5"/>
      <c r="C7" s="5"/>
      <c r="D7" s="22"/>
      <c r="E7" s="34">
        <f>SUM(Table1612161921[GT quy đổi của dòng tiền trong tương lai
FVt = CF * (1+ r)t])</f>
        <v>336.15406530791154</v>
      </c>
      <c r="F7" s="33"/>
      <c r="G7" s="33"/>
    </row>
    <row r="8" spans="1:7" x14ac:dyDescent="0.35">
      <c r="A8" s="5" t="s">
        <v>18</v>
      </c>
      <c r="B8" s="5"/>
      <c r="C8" s="5"/>
      <c r="D8" s="22"/>
      <c r="E8" s="33"/>
      <c r="F8" s="33"/>
      <c r="G8" s="33"/>
    </row>
    <row r="9" spans="1:7" x14ac:dyDescent="0.35">
      <c r="A9" s="1" t="s">
        <v>44</v>
      </c>
      <c r="B9" s="3" t="s">
        <v>48</v>
      </c>
      <c r="C9" s="3" t="s">
        <v>34</v>
      </c>
    </row>
    <row r="10" spans="1:7" ht="17.5" x14ac:dyDescent="0.35">
      <c r="A10" s="7">
        <v>3</v>
      </c>
      <c r="B10" s="41">
        <f>Table1612161921[[#Totals],[GT quy đổi của dòng tiền trong tương lai
FVt = CF * (1+ r)t]]</f>
        <v>336.15406530791154</v>
      </c>
      <c r="C10" s="42" cm="1">
        <f t="array" ref="C10">SUMPRODUCT(B5:B6 * (1+$B$1)^($A$10 - A5:A6))</f>
        <v>336.15406530791148</v>
      </c>
    </row>
    <row r="12" spans="1:7" x14ac:dyDescent="0.35">
      <c r="A12" s="1"/>
      <c r="C12" s="1"/>
      <c r="D12" s="1"/>
    </row>
    <row r="13" spans="1:7" ht="17.5" x14ac:dyDescent="0.35">
      <c r="A13" s="7"/>
      <c r="C13" s="7"/>
      <c r="D13" s="7"/>
    </row>
    <row r="14" spans="1:7" x14ac:dyDescent="0.35">
      <c r="A14" s="1"/>
      <c r="D14" s="1"/>
      <c r="F14" s="1"/>
    </row>
    <row r="15" spans="1:7" ht="17.5" x14ac:dyDescent="0.35">
      <c r="A15" s="7"/>
      <c r="C15" s="7"/>
      <c r="D15" s="7"/>
      <c r="E15" s="7"/>
      <c r="F15" s="7"/>
    </row>
    <row r="16" spans="1:7" x14ac:dyDescent="0.35">
      <c r="E16" s="1"/>
      <c r="F16" s="1"/>
    </row>
    <row r="17" spans="1:9" ht="17.5" x14ac:dyDescent="0.35">
      <c r="A17" s="10"/>
      <c r="C17" s="11"/>
      <c r="D17" s="12"/>
      <c r="E17" s="8"/>
      <c r="F17" s="8"/>
    </row>
    <row r="18" spans="1:9" ht="17.5" x14ac:dyDescent="0.35">
      <c r="A18" s="9"/>
      <c r="C18" s="9"/>
      <c r="D18" s="9"/>
    </row>
    <row r="19" spans="1:9" ht="17.5" x14ac:dyDescent="0.35">
      <c r="E19" s="12"/>
      <c r="F19" s="10"/>
    </row>
    <row r="20" spans="1:9" ht="17.5" x14ac:dyDescent="0.35">
      <c r="E20" s="13"/>
      <c r="F20" s="13"/>
    </row>
    <row r="26" spans="1:9" ht="17.5" x14ac:dyDescent="0.35">
      <c r="G26" s="7"/>
    </row>
    <row r="27" spans="1:9" x14ac:dyDescent="0.35">
      <c r="G27" s="1"/>
      <c r="H27" s="1"/>
    </row>
    <row r="28" spans="1:9" ht="17.5" x14ac:dyDescent="0.35">
      <c r="G28" s="14"/>
      <c r="H28" s="7"/>
      <c r="I28" s="7"/>
    </row>
    <row r="30" spans="1:9" ht="17.5" x14ac:dyDescent="0.35">
      <c r="G30" s="10"/>
      <c r="H30" s="10"/>
      <c r="I30" s="11"/>
    </row>
    <row r="31" spans="1:9" ht="17.5" x14ac:dyDescent="0.35">
      <c r="G31" s="15"/>
      <c r="H31" s="9"/>
      <c r="I31" s="9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E276-3964-435A-A527-38A1C8084005}">
  <dimension ref="A1:H17"/>
  <sheetViews>
    <sheetView zoomScale="58" zoomScaleNormal="100" workbookViewId="0">
      <selection activeCell="D13" sqref="D13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15.1796875" style="3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8" ht="33" x14ac:dyDescent="0.35">
      <c r="A1" s="1" t="s">
        <v>3</v>
      </c>
      <c r="B1" s="2">
        <v>0.17</v>
      </c>
    </row>
    <row r="2" spans="1:8" x14ac:dyDescent="0.35">
      <c r="A2" s="4"/>
    </row>
    <row r="3" spans="1:8" x14ac:dyDescent="0.35">
      <c r="A3" s="5" t="s">
        <v>30</v>
      </c>
    </row>
    <row r="4" spans="1:8" ht="72.5" x14ac:dyDescent="0.35">
      <c r="A4" s="3" t="s">
        <v>0</v>
      </c>
      <c r="B4" s="1" t="s">
        <v>4</v>
      </c>
      <c r="C4" s="1" t="s">
        <v>5</v>
      </c>
      <c r="D4" s="1" t="s">
        <v>35</v>
      </c>
      <c r="E4" s="1" t="s">
        <v>12</v>
      </c>
      <c r="F4" s="1" t="s">
        <v>38</v>
      </c>
      <c r="G4" s="1" t="s">
        <v>39</v>
      </c>
      <c r="H4" s="36" t="s">
        <v>40</v>
      </c>
    </row>
    <row r="5" spans="1:8" x14ac:dyDescent="0.35">
      <c r="A5" s="5">
        <v>0</v>
      </c>
      <c r="B5" s="5">
        <v>100</v>
      </c>
      <c r="C5" s="5"/>
      <c r="D5" s="37">
        <f>Table16121619[[#This Row],[Lợi nhuận
(Lợi ích Bt)]]-Table16121619[[#This Row],[Đầu tư
(Chi phí Ct)]]</f>
        <v>-100</v>
      </c>
      <c r="E5" s="38">
        <f>Table16121619[[#This Row],[Dòng tiền thuần tại giai đoạn t (lãi/lỗ)
CFt]]</f>
        <v>-100</v>
      </c>
      <c r="F5" s="33">
        <f>1/(1+$B$1)^Table16121619[[#This Row],[Năm]]</f>
        <v>1</v>
      </c>
      <c r="G5" s="33">
        <f>Table16121619[[#This Row],[Dòng tiền thuần tại giai đoạn t (lãi/lỗ)
CFt]]*Table16121619[[#This Row],[Hệ số chiết khấu ​tại năm t
1/ (1+r)t]]</f>
        <v>-100</v>
      </c>
      <c r="H5" s="35">
        <f>Table16121619[[#This Row],[Giá trị hiện tại: 
PV(CFt)= CFt/(1+r)t]]</f>
        <v>-100</v>
      </c>
    </row>
    <row r="6" spans="1:8" x14ac:dyDescent="0.35">
      <c r="A6" s="5">
        <v>1</v>
      </c>
      <c r="B6" s="5">
        <v>0</v>
      </c>
      <c r="C6" s="5">
        <v>30</v>
      </c>
      <c r="D6" s="37">
        <f>Table16121619[[#This Row],[Lợi nhuận
(Lợi ích Bt)]]-Table16121619[[#This Row],[Đầu tư
(Chi phí Ct)]]</f>
        <v>30</v>
      </c>
      <c r="E6" s="38">
        <f>E5+Table16121619[[#This Row],[Dòng tiền thuần tại giai đoạn t (lãi/lỗ)
CFt]]</f>
        <v>-70</v>
      </c>
      <c r="F6" s="33">
        <f>1/(1+$B$1)^Table16121619[[#This Row],[Năm]]</f>
        <v>0.85470085470085477</v>
      </c>
      <c r="G6" s="35">
        <f>Table16121619[[#This Row],[Dòng tiền thuần tại giai đoạn t (lãi/lỗ)
CFt]]*Table16121619[[#This Row],[Hệ số chiết khấu ​tại năm t
1/ (1+r)t]]</f>
        <v>25.641025641025642</v>
      </c>
      <c r="H6" s="33">
        <f>H5+Table16121619[[#This Row],[Giá trị hiện tại: 
PV(CFt)= CFt/(1+r)t]]</f>
        <v>-74.358974358974365</v>
      </c>
    </row>
    <row r="7" spans="1:8" x14ac:dyDescent="0.35">
      <c r="A7" s="5">
        <v>2</v>
      </c>
      <c r="B7" s="5">
        <v>0</v>
      </c>
      <c r="C7" s="5">
        <v>30</v>
      </c>
      <c r="D7" s="37">
        <f>Table16121619[[#This Row],[Lợi nhuận
(Lợi ích Bt)]]-Table16121619[[#This Row],[Đầu tư
(Chi phí Ct)]]</f>
        <v>30</v>
      </c>
      <c r="E7" s="38">
        <f>E6+Table16121619[[#This Row],[Dòng tiền thuần tại giai đoạn t (lãi/lỗ)
CFt]]</f>
        <v>-40</v>
      </c>
      <c r="F7" s="33">
        <f>1/(1+$B$1)^Table16121619[[#This Row],[Năm]]</f>
        <v>0.73051355102637161</v>
      </c>
      <c r="G7" s="35">
        <f>Table16121619[[#This Row],[Dòng tiền thuần tại giai đoạn t (lãi/lỗ)
CFt]]*Table16121619[[#This Row],[Hệ số chiết khấu ​tại năm t
1/ (1+r)t]]</f>
        <v>21.915406530791149</v>
      </c>
      <c r="H7" s="33">
        <f>H6+Table16121619[[#This Row],[Giá trị hiện tại: 
PV(CFt)= CFt/(1+r)t]]</f>
        <v>-52.44356782818322</v>
      </c>
    </row>
    <row r="8" spans="1:8" x14ac:dyDescent="0.35">
      <c r="A8" s="5">
        <v>3</v>
      </c>
      <c r="B8" s="5">
        <v>0</v>
      </c>
      <c r="C8" s="5">
        <v>30</v>
      </c>
      <c r="D8" s="37">
        <f>Table16121619[[#This Row],[Lợi nhuận
(Lợi ích Bt)]]-Table16121619[[#This Row],[Đầu tư
(Chi phí Ct)]]</f>
        <v>30</v>
      </c>
      <c r="E8" s="38">
        <f>E7+Table16121619[[#This Row],[Dòng tiền thuần tại giai đoạn t (lãi/lỗ)
CFt]]</f>
        <v>-10</v>
      </c>
      <c r="F8" s="33">
        <f>1/(1+$B$1)^Table16121619[[#This Row],[Năm]]</f>
        <v>0.62437055643279626</v>
      </c>
      <c r="G8" s="35">
        <f>Table16121619[[#This Row],[Dòng tiền thuần tại giai đoạn t (lãi/lỗ)
CFt]]*Table16121619[[#This Row],[Hệ số chiết khấu ​tại năm t
1/ (1+r)t]]</f>
        <v>18.731116692983889</v>
      </c>
      <c r="H8" s="33">
        <f>H7+Table16121619[[#This Row],[Giá trị hiện tại: 
PV(CFt)= CFt/(1+r)t]]</f>
        <v>-33.712451135199331</v>
      </c>
    </row>
    <row r="9" spans="1:8" x14ac:dyDescent="0.35">
      <c r="A9" s="5">
        <v>4</v>
      </c>
      <c r="B9" s="5">
        <v>0</v>
      </c>
      <c r="C9" s="5">
        <v>40</v>
      </c>
      <c r="D9" s="37">
        <f>Table16121619[[#This Row],[Lợi nhuận
(Lợi ích Bt)]]-Table16121619[[#This Row],[Đầu tư
(Chi phí Ct)]]</f>
        <v>40</v>
      </c>
      <c r="E9" s="38">
        <f>E8+Table16121619[[#This Row],[Dòng tiền thuần tại giai đoạn t (lãi/lỗ)
CFt]]</f>
        <v>30</v>
      </c>
      <c r="F9" s="33">
        <f>1/(1+$B$1)^Table16121619[[#This Row],[Năm]]</f>
        <v>0.53365004823315931</v>
      </c>
      <c r="G9" s="35">
        <f>Table16121619[[#This Row],[Dòng tiền thuần tại giai đoạn t (lãi/lỗ)
CFt]]*Table16121619[[#This Row],[Hệ số chiết khấu ​tại năm t
1/ (1+r)t]]</f>
        <v>21.346001929326373</v>
      </c>
      <c r="H9" s="33">
        <f>H8+Table16121619[[#This Row],[Giá trị hiện tại: 
PV(CFt)= CFt/(1+r)t]]</f>
        <v>-12.366449205872957</v>
      </c>
    </row>
    <row r="10" spans="1:8" x14ac:dyDescent="0.35">
      <c r="A10" s="5">
        <v>5</v>
      </c>
      <c r="B10" s="5">
        <v>0</v>
      </c>
      <c r="C10" s="5">
        <v>40</v>
      </c>
      <c r="D10" s="37">
        <f>Table16121619[[#This Row],[Lợi nhuận
(Lợi ích Bt)]]-Table16121619[[#This Row],[Đầu tư
(Chi phí Ct)]]</f>
        <v>40</v>
      </c>
      <c r="E10" s="38">
        <f>E9+Table16121619[[#This Row],[Dòng tiền thuần tại giai đoạn t (lãi/lỗ)
CFt]]</f>
        <v>70</v>
      </c>
      <c r="F10" s="33">
        <f>1/(1+$B$1)^Table16121619[[#This Row],[Năm]]</f>
        <v>0.45611115233603361</v>
      </c>
      <c r="G10" s="33">
        <f>Table16121619[[#This Row],[Dòng tiền thuần tại giai đoạn t (lãi/lỗ)
CFt]]*Table16121619[[#This Row],[Hệ số chiết khấu ​tại năm t
1/ (1+r)t]]</f>
        <v>18.244446093441343</v>
      </c>
      <c r="H10" s="33">
        <f>H9+Table16121619[[#This Row],[Giá trị hiện tại: 
PV(CFt)= CFt/(1+r)t]]</f>
        <v>5.8779968875683863</v>
      </c>
    </row>
    <row r="11" spans="1:8" x14ac:dyDescent="0.35">
      <c r="A11" s="3" t="s">
        <v>18</v>
      </c>
    </row>
    <row r="12" spans="1:8" ht="53.5" x14ac:dyDescent="0.35">
      <c r="A12" s="1" t="s">
        <v>19</v>
      </c>
      <c r="B12" s="1" t="s">
        <v>20</v>
      </c>
      <c r="C12" s="1" t="s">
        <v>16</v>
      </c>
      <c r="D12" s="3" t="s">
        <v>41</v>
      </c>
    </row>
    <row r="13" spans="1:8" ht="17.5" x14ac:dyDescent="0.35">
      <c r="A13" s="7" t="s">
        <v>30</v>
      </c>
      <c r="B13" s="14">
        <f>IRR($D$5:$D$10)</f>
        <v>0.1938170653195046</v>
      </c>
      <c r="C13" s="7" cm="1">
        <f t="array" ref="C13">_xlfn.LET(_xlpm.c,$E$5:$E$10,
     _xlpm.pos,MATCH(TRUE,_xlpm.c&gt;=0,0),
     _xlpm.a,INDEX($A$5:$A$10,_xlpm.pos-1),
     _xlpm.b,-INDEX($E$5:$E$10,_xlpm.pos-1),
     _xlpm.cflow,INDEX($D$5:$D$10,_xlpm.pos),
     IFERROR(_xlpm.a + _xlpm.b/_xlpm.cflow,"Chưa hoàn vốn"))</f>
        <v>3.25</v>
      </c>
      <c r="D13" s="7" cm="1">
        <f t="array" ref="D13">INDEX($A$5:$A$10, MATCH(TRUE, $H$5:$H$10&gt;=0, 0)-1)
 + ABS(INDEX($H$5:$H$10, MATCH(TRUE, $H$5:$H$10&gt;=0, 0)-1))
 / INDEX($G$5:$G$10, MATCH(TRUE, $H$5:$H$10&gt;=0, 0))</f>
        <v>4.6778199317499993</v>
      </c>
    </row>
    <row r="15" spans="1:8" x14ac:dyDescent="0.35">
      <c r="A15" s="1"/>
      <c r="C15" s="1"/>
      <c r="D15" s="1"/>
    </row>
    <row r="16" spans="1:8" ht="17.5" x14ac:dyDescent="0.35">
      <c r="A16" s="7"/>
      <c r="C16" s="7"/>
      <c r="D16" s="7"/>
    </row>
    <row r="17" spans="1:6" x14ac:dyDescent="0.35">
      <c r="A17" s="1"/>
      <c r="D17" s="1"/>
      <c r="F17" s="1"/>
    </row>
  </sheetData>
  <pageMargins left="0.7" right="0.7" top="0.75" bottom="0.75" header="0.3" footer="0.3"/>
  <pageSetup orientation="portrait" r:id="rId1"/>
  <ignoredErrors>
    <ignoredError sqref="H6:H9" calculatedColumn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FCD-6900-42DC-AEF0-B50DC3B3042E}">
  <dimension ref="A1:I37"/>
  <sheetViews>
    <sheetView zoomScale="78" zoomScaleNormal="100" workbookViewId="0">
      <selection activeCell="A4" sqref="A4:F5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15.1796875" style="3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6" ht="33" x14ac:dyDescent="0.35">
      <c r="A1" s="1" t="s">
        <v>3</v>
      </c>
      <c r="B1" s="2">
        <v>0.1</v>
      </c>
    </row>
    <row r="2" spans="1:6" x14ac:dyDescent="0.35">
      <c r="A2" s="4"/>
    </row>
    <row r="3" spans="1:6" x14ac:dyDescent="0.35">
      <c r="A3" s="5" t="s">
        <v>30</v>
      </c>
    </row>
    <row r="4" spans="1:6" ht="72.5" x14ac:dyDescent="0.35">
      <c r="A4" s="3" t="s">
        <v>0</v>
      </c>
      <c r="B4" s="1" t="s">
        <v>35</v>
      </c>
      <c r="C4" s="1" t="s">
        <v>12</v>
      </c>
      <c r="D4" s="1" t="s">
        <v>38</v>
      </c>
      <c r="E4" s="1" t="s">
        <v>39</v>
      </c>
      <c r="F4" s="36" t="s">
        <v>40</v>
      </c>
    </row>
    <row r="5" spans="1:6" x14ac:dyDescent="0.35">
      <c r="A5" s="5">
        <v>0</v>
      </c>
      <c r="B5" s="37">
        <v>-5000</v>
      </c>
      <c r="C5" s="38">
        <f>Table161216[[#This Row],[Dòng tiền thuần tại giai đoạn t (lãi/lỗ)
CFt]]</f>
        <v>-5000</v>
      </c>
      <c r="D5" s="33">
        <f>1/(1+$B$1)^Table161216[[#This Row],[Năm]]</f>
        <v>1</v>
      </c>
      <c r="E5" s="33">
        <f>Table161216[[#This Row],[Dòng tiền thuần tại giai đoạn t (lãi/lỗ)
CFt]]*Table161216[[#This Row],[Hệ số chiết khấu ​tại năm t
1/ (1+r)t]]</f>
        <v>-5000</v>
      </c>
      <c r="F5" s="35">
        <f>Table161216[[#This Row],[Giá trị hiện tại: 
PV(CFt)= CFt/(1+r)t]]</f>
        <v>-5000</v>
      </c>
    </row>
    <row r="6" spans="1:6" x14ac:dyDescent="0.35">
      <c r="A6" s="5">
        <v>1</v>
      </c>
      <c r="B6" s="37">
        <v>1000</v>
      </c>
      <c r="C6" s="38">
        <f>Table161216[[#This Row],[Dòng tiền thuần tại giai đoạn t (lãi/lỗ)
CFt]]</f>
        <v>1000</v>
      </c>
      <c r="D6" s="33">
        <f>1/(1+$B$1)^Table161216[[#This Row],[Năm]]</f>
        <v>0.90909090909090906</v>
      </c>
      <c r="E6" s="35">
        <f>Table161216[[#This Row],[Dòng tiền thuần tại giai đoạn t (lãi/lỗ)
CFt]]*Table161216[[#This Row],[Hệ số chiết khấu ​tại năm t
1/ (1+r)t]]</f>
        <v>909.09090909090901</v>
      </c>
      <c r="F6" s="33">
        <f>F5+Table161216[[#This Row],[Giá trị hiện tại: 
PV(CFt)= CFt/(1+r)t]]</f>
        <v>-4090.909090909091</v>
      </c>
    </row>
    <row r="7" spans="1:6" x14ac:dyDescent="0.35">
      <c r="A7" s="5">
        <v>2</v>
      </c>
      <c r="B7" s="37">
        <v>1000</v>
      </c>
      <c r="C7" s="38">
        <f>Table161216[[#This Row],[Dòng tiền thuần tại giai đoạn t (lãi/lỗ)
CFt]]</f>
        <v>1000</v>
      </c>
      <c r="D7" s="33">
        <f>1/(1+$B$1)^Table161216[[#This Row],[Năm]]</f>
        <v>0.82644628099173545</v>
      </c>
      <c r="E7" s="35">
        <f>Table161216[[#This Row],[Dòng tiền thuần tại giai đoạn t (lãi/lỗ)
CFt]]*Table161216[[#This Row],[Hệ số chiết khấu ​tại năm t
1/ (1+r)t]]</f>
        <v>826.44628099173542</v>
      </c>
      <c r="F7" s="33">
        <f>F6+Table161216[[#This Row],[Giá trị hiện tại: 
PV(CFt)= CFt/(1+r)t]]</f>
        <v>-3264.4628099173556</v>
      </c>
    </row>
    <row r="8" spans="1:6" x14ac:dyDescent="0.35">
      <c r="A8" s="5">
        <v>3</v>
      </c>
      <c r="B8" s="37">
        <v>1000</v>
      </c>
      <c r="C8" s="38">
        <f>Table161216[[#This Row],[Dòng tiền thuần tại giai đoạn t (lãi/lỗ)
CFt]]</f>
        <v>1000</v>
      </c>
      <c r="D8" s="33">
        <f>1/(1+$B$1)^Table161216[[#This Row],[Năm]]</f>
        <v>0.75131480090157754</v>
      </c>
      <c r="E8" s="35">
        <f>Table161216[[#This Row],[Dòng tiền thuần tại giai đoạn t (lãi/lỗ)
CFt]]*Table161216[[#This Row],[Hệ số chiết khấu ​tại năm t
1/ (1+r)t]]</f>
        <v>751.31480090157754</v>
      </c>
      <c r="F8" s="33">
        <f>F7+Table161216[[#This Row],[Giá trị hiện tại: 
PV(CFt)= CFt/(1+r)t]]</f>
        <v>-2513.1480090157779</v>
      </c>
    </row>
    <row r="9" spans="1:6" x14ac:dyDescent="0.35">
      <c r="A9" s="5">
        <v>4</v>
      </c>
      <c r="B9" s="37">
        <v>1000</v>
      </c>
      <c r="C9" s="38">
        <f>Table161216[[#This Row],[Dòng tiền thuần tại giai đoạn t (lãi/lỗ)
CFt]]</f>
        <v>1000</v>
      </c>
      <c r="D9" s="33">
        <f>1/(1+$B$1)^Table161216[[#This Row],[Năm]]</f>
        <v>0.68301345536507052</v>
      </c>
      <c r="E9" s="35">
        <f>Table161216[[#This Row],[Dòng tiền thuần tại giai đoạn t (lãi/lỗ)
CFt]]*Table161216[[#This Row],[Hệ số chiết khấu ​tại năm t
1/ (1+r)t]]</f>
        <v>683.01345536507051</v>
      </c>
      <c r="F9" s="33">
        <f>F8+Table161216[[#This Row],[Giá trị hiện tại: 
PV(CFt)= CFt/(1+r)t]]</f>
        <v>-1830.1345536507074</v>
      </c>
    </row>
    <row r="10" spans="1:6" x14ac:dyDescent="0.35">
      <c r="A10" s="5">
        <v>5</v>
      </c>
      <c r="B10" s="37">
        <v>1000</v>
      </c>
      <c r="C10" s="38">
        <f>Table161216[[#This Row],[Dòng tiền thuần tại giai đoạn t (lãi/lỗ)
CFt]]</f>
        <v>1000</v>
      </c>
      <c r="D10" s="33">
        <f>1/(1+$B$1)^Table161216[[#This Row],[Năm]]</f>
        <v>0.62092132305915493</v>
      </c>
      <c r="E10" s="33">
        <f>Table161216[[#This Row],[Dòng tiền thuần tại giai đoạn t (lãi/lỗ)
CFt]]*Table161216[[#This Row],[Hệ số chiết khấu ​tại năm t
1/ (1+r)t]]</f>
        <v>620.92132305915493</v>
      </c>
      <c r="F10" s="33">
        <f>F9+Table161216[[#This Row],[Giá trị hiện tại: 
PV(CFt)= CFt/(1+r)t]]</f>
        <v>-1209.2132305915525</v>
      </c>
    </row>
    <row r="11" spans="1:6" x14ac:dyDescent="0.35">
      <c r="A11" s="5">
        <v>6</v>
      </c>
      <c r="B11" s="37">
        <v>1000</v>
      </c>
      <c r="C11" s="38">
        <f>Table161216[[#This Row],[Dòng tiền thuần tại giai đoạn t (lãi/lỗ)
CFt]]</f>
        <v>1000</v>
      </c>
      <c r="D11" s="33">
        <f>1/(1+$B$1)^Table161216[[#This Row],[Năm]]</f>
        <v>0.56447393005377722</v>
      </c>
      <c r="E11" s="33">
        <f>Table161216[[#This Row],[Dòng tiền thuần tại giai đoạn t (lãi/lỗ)
CFt]]*Table161216[[#This Row],[Hệ số chiết khấu ​tại năm t
1/ (1+r)t]]</f>
        <v>564.47393005377717</v>
      </c>
      <c r="F11" s="33">
        <f>F10+Table161216[[#This Row],[Giá trị hiện tại: 
PV(CFt)= CFt/(1+r)t]]</f>
        <v>-644.73930053777531</v>
      </c>
    </row>
    <row r="12" spans="1:6" x14ac:dyDescent="0.35">
      <c r="A12" s="5">
        <v>7</v>
      </c>
      <c r="B12" s="37">
        <v>1000</v>
      </c>
      <c r="C12" s="38">
        <f>Table161216[[#This Row],[Dòng tiền thuần tại giai đoạn t (lãi/lỗ)
CFt]]</f>
        <v>1000</v>
      </c>
      <c r="D12" s="33">
        <f>1/(1+$B$1)^Table161216[[#This Row],[Năm]]</f>
        <v>0.51315811823070645</v>
      </c>
      <c r="E12" s="33">
        <f>Table161216[[#This Row],[Dòng tiền thuần tại giai đoạn t (lãi/lỗ)
CFt]]*Table161216[[#This Row],[Hệ số chiết khấu ​tại năm t
1/ (1+r)t]]</f>
        <v>513.15811823070646</v>
      </c>
      <c r="F12" s="33">
        <f>F11+Table161216[[#This Row],[Giá trị hiện tại: 
PV(CFt)= CFt/(1+r)t]]</f>
        <v>-131.58118230706884</v>
      </c>
    </row>
    <row r="13" spans="1:6" x14ac:dyDescent="0.35">
      <c r="A13" s="5">
        <v>8</v>
      </c>
      <c r="B13" s="37">
        <v>1000</v>
      </c>
      <c r="C13" s="38">
        <f>Table161216[[#This Row],[Dòng tiền thuần tại giai đoạn t (lãi/lỗ)
CFt]]</f>
        <v>1000</v>
      </c>
      <c r="D13" s="33">
        <f>1/(1+$B$1)^Table161216[[#This Row],[Năm]]</f>
        <v>0.46650738020973315</v>
      </c>
      <c r="E13" s="33">
        <f>Table161216[[#This Row],[Dòng tiền thuần tại giai đoạn t (lãi/lỗ)
CFt]]*Table161216[[#This Row],[Hệ số chiết khấu ​tại năm t
1/ (1+r)t]]</f>
        <v>466.50738020973313</v>
      </c>
      <c r="F13" s="33">
        <f>F12+Table161216[[#This Row],[Giá trị hiện tại: 
PV(CFt)= CFt/(1+r)t]]</f>
        <v>334.92619790266428</v>
      </c>
    </row>
    <row r="14" spans="1:6" x14ac:dyDescent="0.35">
      <c r="A14" s="3" t="s">
        <v>18</v>
      </c>
    </row>
    <row r="15" spans="1:6" ht="53.5" x14ac:dyDescent="0.35">
      <c r="A15" s="1" t="s">
        <v>19</v>
      </c>
      <c r="B15" s="1" t="s">
        <v>20</v>
      </c>
      <c r="C15" s="1" t="s">
        <v>16</v>
      </c>
      <c r="D15" s="3" t="s">
        <v>41</v>
      </c>
    </row>
    <row r="16" spans="1:6" ht="17.5" x14ac:dyDescent="0.35">
      <c r="A16" s="7" t="s">
        <v>30</v>
      </c>
      <c r="B16" s="14">
        <f>IRR($B$5:$B$13)</f>
        <v>0.11814510280868684</v>
      </c>
      <c r="C16" s="7" cm="1">
        <f t="array" ref="C16">_xlfn.LET(_xlpm.c,$C$5:$C$13,
     _xlpm.pos,MATCH(TRUE,_xlpm.c&gt;=0,0),
     _xlpm.a,INDEX($A$5:$A$13,_xlpm.pos-1),
     _xlpm.b,-INDEX($C$5:$C$13,_xlpm.pos-1),
     _xlpm.cflow,INDEX($B$5:$B$13,_xlpm.pos),
     IFERROR(_xlpm.a + _xlpm.b/_xlpm.cflow,"Chưa hoàn vốn"))</f>
        <v>5</v>
      </c>
      <c r="D16" s="7">
        <f>IF(ABS(B5)*$B$1&gt;=B6,"Không tồn tại", -LN(1-(ABS(B5)*$B$1)/B6)/LN(1+$B$1))</f>
        <v>7.2725408973417132</v>
      </c>
    </row>
    <row r="18" spans="1:7" x14ac:dyDescent="0.35">
      <c r="A18" s="1"/>
      <c r="C18" s="1"/>
      <c r="D18" s="1"/>
    </row>
    <row r="19" spans="1:7" ht="17.5" x14ac:dyDescent="0.35">
      <c r="A19" s="7"/>
      <c r="C19" s="7"/>
      <c r="D19" s="7"/>
    </row>
    <row r="20" spans="1:7" x14ac:dyDescent="0.35">
      <c r="A20" s="1"/>
      <c r="D20" s="1"/>
      <c r="F20" s="1"/>
    </row>
    <row r="21" spans="1:7" ht="17.5" x14ac:dyDescent="0.35">
      <c r="A21" s="7"/>
      <c r="C21" s="7"/>
      <c r="D21" s="7"/>
      <c r="E21" s="7"/>
      <c r="F21" s="7"/>
    </row>
    <row r="22" spans="1:7" x14ac:dyDescent="0.35">
      <c r="E22" s="1"/>
      <c r="F22" s="1"/>
    </row>
    <row r="23" spans="1:7" ht="17.5" x14ac:dyDescent="0.35">
      <c r="A23" s="10"/>
      <c r="C23" s="11"/>
      <c r="D23" s="12"/>
      <c r="E23" s="8"/>
      <c r="F23" s="8"/>
    </row>
    <row r="24" spans="1:7" ht="17.5" x14ac:dyDescent="0.35">
      <c r="A24" s="9"/>
      <c r="C24" s="9"/>
      <c r="D24" s="9"/>
    </row>
    <row r="25" spans="1:7" ht="17.5" x14ac:dyDescent="0.35">
      <c r="E25" s="12"/>
      <c r="F25" s="10"/>
    </row>
    <row r="26" spans="1:7" ht="17.5" x14ac:dyDescent="0.35">
      <c r="E26" s="13"/>
      <c r="F26" s="13"/>
    </row>
    <row r="32" spans="1:7" ht="17.5" x14ac:dyDescent="0.35">
      <c r="G32" s="7"/>
    </row>
    <row r="33" spans="7:9" x14ac:dyDescent="0.35">
      <c r="G33" s="1"/>
      <c r="H33" s="1"/>
    </row>
    <row r="34" spans="7:9" ht="17.5" x14ac:dyDescent="0.35">
      <c r="G34" s="14"/>
      <c r="H34" s="7"/>
      <c r="I34" s="7"/>
    </row>
    <row r="36" spans="7:9" ht="17.5" x14ac:dyDescent="0.35">
      <c r="G36" s="10"/>
      <c r="H36" s="10"/>
      <c r="I36" s="11"/>
    </row>
    <row r="37" spans="7:9" ht="17.5" x14ac:dyDescent="0.35">
      <c r="G37" s="15"/>
      <c r="H37" s="9"/>
      <c r="I37" s="9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392E-AF97-4C61-8DF1-615F342CE5B3}">
  <dimension ref="A1:I36"/>
  <sheetViews>
    <sheetView zoomScale="55" zoomScaleNormal="100" workbookViewId="0">
      <selection sqref="A1:B1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15.1796875" style="3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3" x14ac:dyDescent="0.35">
      <c r="A1" s="4"/>
    </row>
    <row r="2" spans="1:3" x14ac:dyDescent="0.35">
      <c r="A2" s="5" t="s">
        <v>30</v>
      </c>
    </row>
    <row r="3" spans="1:3" ht="72.5" x14ac:dyDescent="0.35">
      <c r="A3" s="3" t="s">
        <v>0</v>
      </c>
      <c r="B3" s="1" t="s">
        <v>35</v>
      </c>
      <c r="C3" s="1" t="s">
        <v>12</v>
      </c>
    </row>
    <row r="4" spans="1:3" x14ac:dyDescent="0.35">
      <c r="A4" s="5">
        <v>0</v>
      </c>
      <c r="B4" s="21">
        <v>-150000</v>
      </c>
      <c r="C4" s="21">
        <v>-150000</v>
      </c>
    </row>
    <row r="5" spans="1:3" x14ac:dyDescent="0.35">
      <c r="A5" s="5">
        <v>1</v>
      </c>
      <c r="B5" s="21">
        <v>40000</v>
      </c>
      <c r="C5" s="21">
        <f>C4+Table1612[[#This Row],[Dòng tiền thuần tại giai đoạn t (lãi/lỗ)
CFt]]</f>
        <v>-110000</v>
      </c>
    </row>
    <row r="6" spans="1:3" x14ac:dyDescent="0.35">
      <c r="A6" s="5">
        <v>2</v>
      </c>
      <c r="B6" s="21">
        <v>40000</v>
      </c>
      <c r="C6" s="21">
        <f>C5+Table1612[[#This Row],[Dòng tiền thuần tại giai đoạn t (lãi/lỗ)
CFt]]</f>
        <v>-70000</v>
      </c>
    </row>
    <row r="7" spans="1:3" x14ac:dyDescent="0.35">
      <c r="A7" s="5">
        <v>3</v>
      </c>
      <c r="B7" s="21">
        <v>40000</v>
      </c>
      <c r="C7" s="21">
        <f>C6+Table1612[[#This Row],[Dòng tiền thuần tại giai đoạn t (lãi/lỗ)
CFt]]</f>
        <v>-30000</v>
      </c>
    </row>
    <row r="8" spans="1:3" x14ac:dyDescent="0.35">
      <c r="A8" s="5">
        <v>4</v>
      </c>
      <c r="B8" s="23">
        <v>40000</v>
      </c>
      <c r="C8" s="23">
        <f>C7+Table1612[[#This Row],[Dòng tiền thuần tại giai đoạn t (lãi/lỗ)
CFt]]</f>
        <v>10000</v>
      </c>
    </row>
    <row r="9" spans="1:3" x14ac:dyDescent="0.35">
      <c r="A9" s="5"/>
      <c r="B9" s="23"/>
      <c r="C9" s="23"/>
    </row>
    <row r="10" spans="1:3" x14ac:dyDescent="0.35">
      <c r="A10" s="5"/>
      <c r="B10" s="21"/>
      <c r="C10" s="21"/>
    </row>
    <row r="11" spans="1:3" x14ac:dyDescent="0.35">
      <c r="A11" s="5"/>
      <c r="B11" s="21"/>
      <c r="C11" s="21"/>
    </row>
    <row r="13" spans="1:3" x14ac:dyDescent="0.35">
      <c r="A13" s="5" t="s">
        <v>31</v>
      </c>
    </row>
    <row r="14" spans="1:3" ht="72.5" x14ac:dyDescent="0.35">
      <c r="A14" s="26" t="s">
        <v>0</v>
      </c>
      <c r="B14" s="17" t="s">
        <v>36</v>
      </c>
      <c r="C14" s="27" t="s">
        <v>37</v>
      </c>
    </row>
    <row r="15" spans="1:3" x14ac:dyDescent="0.35">
      <c r="A15" s="28">
        <v>0</v>
      </c>
      <c r="B15" s="29">
        <v>-200000</v>
      </c>
      <c r="C15" s="30">
        <f>B15</f>
        <v>-200000</v>
      </c>
    </row>
    <row r="16" spans="1:3" x14ac:dyDescent="0.35">
      <c r="A16" s="28">
        <v>1</v>
      </c>
      <c r="B16" s="29">
        <v>50000</v>
      </c>
      <c r="C16" s="30">
        <f>C15+B16</f>
        <v>-150000</v>
      </c>
    </row>
    <row r="17" spans="1:8" x14ac:dyDescent="0.35">
      <c r="A17" s="28">
        <v>2</v>
      </c>
      <c r="B17" s="29">
        <v>50000</v>
      </c>
      <c r="C17" s="30">
        <f>C16+B17</f>
        <v>-100000</v>
      </c>
    </row>
    <row r="18" spans="1:8" x14ac:dyDescent="0.35">
      <c r="A18" s="28">
        <v>3</v>
      </c>
      <c r="B18" s="29">
        <v>50000</v>
      </c>
      <c r="C18" s="30">
        <f>C17+B18</f>
        <v>-50000</v>
      </c>
    </row>
    <row r="19" spans="1:8" x14ac:dyDescent="0.35">
      <c r="A19" s="28">
        <v>4</v>
      </c>
      <c r="B19" s="31">
        <v>50000</v>
      </c>
      <c r="C19" s="32">
        <f>C18+B19</f>
        <v>0</v>
      </c>
    </row>
    <row r="24" spans="1:8" x14ac:dyDescent="0.35">
      <c r="A24" s="3" t="s">
        <v>18</v>
      </c>
    </row>
    <row r="25" spans="1:8" ht="53.5" x14ac:dyDescent="0.35">
      <c r="A25" s="1" t="s">
        <v>19</v>
      </c>
      <c r="B25" s="1" t="s">
        <v>20</v>
      </c>
      <c r="C25" s="1" t="s">
        <v>16</v>
      </c>
      <c r="D25" s="3" t="s">
        <v>17</v>
      </c>
    </row>
    <row r="26" spans="1:8" ht="17.5" x14ac:dyDescent="0.35">
      <c r="A26" s="7" t="s">
        <v>30</v>
      </c>
      <c r="B26" s="14">
        <f>IRR($B$4:$B$11)</f>
        <v>2.6324718870709196E-2</v>
      </c>
      <c r="C26" s="7" cm="1">
        <f t="array" ref="C26">_xlfn.LET(_xlpm.c,$C$4:$C$11,
     _xlpm.pos,MATCH(TRUE,_xlpm.c&gt;=0,0),
     _xlpm.a,INDEX($A$4:$A$11,_xlpm.pos-1),
     _xlpm.b,-INDEX($C$4:$C$11,_xlpm.pos-1),
     _xlpm.cflow,INDEX($B$4:$B$11,_xlpm.pos),
     IFERROR(_xlpm.a + _xlpm.b/_xlpm.cflow,"Chưa hoàn vốn"))</f>
        <v>3.75</v>
      </c>
      <c r="D26" s="7" t="str" cm="1">
        <f t="array" ref="D26">_xlfn.LET(_xlpm.c,#REF!,
     _xlpm.pos,MATCH(TRUE,_xlpm.c&gt;=0,0),
     _xlpm.a,INDEX($A$4:$A$11,_xlpm.pos-1),
     _xlpm.b,-INDEX(#REF!,_xlpm.pos-1),
     _xlpm.cflow,INDEX(#REF!,_xlpm.pos),
     IFERROR(_xlpm.a + _xlpm.b/_xlpm.cflow,"Chưa hoàn vốn"))</f>
        <v>Chưa hoàn vốn</v>
      </c>
    </row>
    <row r="28" spans="1:8" ht="50.5" x14ac:dyDescent="0.35">
      <c r="A28" s="10" t="s">
        <v>19</v>
      </c>
      <c r="B28" s="10" t="s">
        <v>23</v>
      </c>
      <c r="C28" s="10" t="s">
        <v>16</v>
      </c>
      <c r="D28" s="11" t="s">
        <v>17</v>
      </c>
    </row>
    <row r="29" spans="1:8" ht="17.5" x14ac:dyDescent="0.35">
      <c r="A29" s="9" t="s">
        <v>2</v>
      </c>
      <c r="B29" s="15">
        <f>IRR($B$15:$B$19)</f>
        <v>5.6843418860808015E-14</v>
      </c>
      <c r="C29" s="9" t="str" cm="1">
        <f t="array" ref="C29">_xlfn.LET(_xlpm.c,#REF!,
     _xlpm.pos,MATCH(TRUE,_xlpm.c&gt;=0,0),
     _xlpm.a,INDEX(#REF!,_xlpm.pos-1),
     _xlpm.b,-INDEX(#REF!,_xlpm.pos-1),
     _xlpm.cflow,INDEX(#REF!,_xlpm.pos),
     IFERROR(_xlpm.a + _xlpm.b/_xlpm.cflow,"Chưa hoàn vốn"))</f>
        <v>Chưa hoàn vốn</v>
      </c>
      <c r="D29" s="9" t="str" cm="1">
        <f t="array" ref="D29">_xlfn.LET(_xlpm.c,#REF!,
     _xlpm.pos,MATCH(TRUE,_xlpm.c&gt;=0,0),
     _xlpm.a,INDEX(#REF!,_xlpm.pos-1),
     _xlpm.b,-INDEX(#REF!,_xlpm.pos-1),
     _xlpm.cflow,INDEX(#REF!,_xlpm.pos),
     IFERROR(_xlpm.a + _xlpm.b/_xlpm.cflow,"Chưa hoàn vốn"))</f>
        <v>Chưa hoàn vốn</v>
      </c>
    </row>
    <row r="30" spans="1:8" x14ac:dyDescent="0.35">
      <c r="A30" s="1"/>
      <c r="C30" s="1"/>
      <c r="D30" s="1"/>
      <c r="F30" s="1"/>
    </row>
    <row r="31" spans="1:8" ht="17.5" x14ac:dyDescent="0.35">
      <c r="A31" s="7"/>
      <c r="C31" s="7"/>
      <c r="D31" s="7"/>
      <c r="E31" s="7"/>
      <c r="F31" s="7"/>
      <c r="G31" s="7"/>
    </row>
    <row r="32" spans="1:8" x14ac:dyDescent="0.35">
      <c r="A32" s="1"/>
      <c r="D32" s="1"/>
      <c r="E32" s="1"/>
      <c r="F32" s="1"/>
      <c r="G32" s="1"/>
      <c r="H32" s="1"/>
    </row>
    <row r="33" spans="1:9" ht="17.5" x14ac:dyDescent="0.35">
      <c r="A33" s="7"/>
      <c r="C33" s="7"/>
      <c r="D33" s="7"/>
      <c r="E33" s="8"/>
      <c r="F33" s="8"/>
      <c r="G33" s="14"/>
      <c r="H33" s="7"/>
      <c r="I33" s="7"/>
    </row>
    <row r="35" spans="1:9" ht="17.5" x14ac:dyDescent="0.35">
      <c r="A35" s="10"/>
      <c r="C35" s="11"/>
      <c r="D35" s="12"/>
      <c r="E35" s="12"/>
      <c r="F35" s="10"/>
      <c r="G35" s="10"/>
      <c r="H35" s="10"/>
      <c r="I35" s="11"/>
    </row>
    <row r="36" spans="1:9" ht="17.5" x14ac:dyDescent="0.35">
      <c r="A36" s="9"/>
      <c r="C36" s="9"/>
      <c r="D36" s="9"/>
      <c r="E36" s="13"/>
      <c r="F36" s="13"/>
      <c r="G36" s="15"/>
      <c r="H36" s="9"/>
      <c r="I36" s="9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56D6-13A4-4583-BDED-85342E7A9E71}">
  <dimension ref="A1:I37"/>
  <sheetViews>
    <sheetView topLeftCell="B1" zoomScale="55" zoomScaleNormal="100" workbookViewId="0">
      <selection activeCell="D5" sqref="D5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28.81640625" style="3" bestFit="1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8" ht="33" x14ac:dyDescent="0.35">
      <c r="A1" s="1" t="s">
        <v>3</v>
      </c>
      <c r="B1" s="2">
        <v>0.18</v>
      </c>
    </row>
    <row r="2" spans="1:8" x14ac:dyDescent="0.35">
      <c r="A2" s="4"/>
    </row>
    <row r="3" spans="1:8" x14ac:dyDescent="0.35">
      <c r="A3" s="5" t="s">
        <v>30</v>
      </c>
    </row>
    <row r="4" spans="1:8" ht="73" x14ac:dyDescent="0.35">
      <c r="A4" s="3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12</v>
      </c>
      <c r="H4" s="1" t="s">
        <v>11</v>
      </c>
    </row>
    <row r="5" spans="1:8" x14ac:dyDescent="0.35">
      <c r="A5" s="5">
        <v>0</v>
      </c>
      <c r="B5" s="5">
        <v>225</v>
      </c>
      <c r="C5" s="24">
        <v>0</v>
      </c>
      <c r="D5" s="21">
        <f>Table16[[#This Row],[Lợi nhuận
(Lợi ích Bt)]]-Table16[[#This Row],[Đầu tư
(Chi phí Ct)]]</f>
        <v>-225</v>
      </c>
      <c r="E5" s="21">
        <f>1/(1+$B$1)^Table16[[#This Row],[Năm]]</f>
        <v>1</v>
      </c>
      <c r="F5" s="21">
        <f>Table16[[#This Row],[Dòng tiền thuần tại giai đoạn t (lãi/lỗ)
CFt=Ct-  Bt ]]*Table16[[#This Row],[Hệ số chiết khấu ​tại năm t
1/ (1+r)t]]</f>
        <v>-225</v>
      </c>
      <c r="G5" s="21">
        <f>Table16[[#This Row],[Dòng tiền thuần tại giai đoạn t (lãi/lỗ)
CFt=Ct-  Bt ]]</f>
        <v>-225</v>
      </c>
      <c r="H5" s="21">
        <f>Table16[[#This Row],[Giá trị hiện tại: 
PV(CFt)= CFt/(1+r)t]]</f>
        <v>-225</v>
      </c>
    </row>
    <row r="6" spans="1:8" x14ac:dyDescent="0.35">
      <c r="A6" s="5">
        <v>1</v>
      </c>
      <c r="B6" s="5">
        <v>190</v>
      </c>
      <c r="C6" s="24">
        <v>0</v>
      </c>
      <c r="D6" s="21">
        <f>Table16[[#This Row],[Lợi nhuận
(Lợi ích Bt)]]-Table16[[#This Row],[Đầu tư
(Chi phí Ct)]]</f>
        <v>-190</v>
      </c>
      <c r="E6" s="22">
        <f>1/(1+$B$1)^Table16[[#This Row],[Năm]]</f>
        <v>0.84745762711864414</v>
      </c>
      <c r="F6" s="22">
        <f>Table16[[#This Row],[Dòng tiền thuần tại giai đoạn t (lãi/lỗ)
CFt=Ct-  Bt ]]*Table16[[#This Row],[Hệ số chiết khấu ​tại năm t
1/ (1+r)t]]</f>
        <v>-161.0169491525424</v>
      </c>
      <c r="G6" s="21">
        <f>G5+Table16[[#This Row],[Dòng tiền thuần tại giai đoạn t (lãi/lỗ)
CFt=Ct-  Bt ]]</f>
        <v>-415</v>
      </c>
      <c r="H6" s="22">
        <f>H5+Table16[[#This Row],[Giá trị hiện tại: 
PV(CFt)= CFt/(1+r)t]]</f>
        <v>-386.0169491525424</v>
      </c>
    </row>
    <row r="7" spans="1:8" x14ac:dyDescent="0.35">
      <c r="A7" s="5">
        <v>2</v>
      </c>
      <c r="B7" s="5">
        <v>0</v>
      </c>
      <c r="C7" s="24">
        <v>150</v>
      </c>
      <c r="D7" s="21">
        <f>Table16[[#This Row],[Lợi nhuận
(Lợi ích Bt)]]-Table16[[#This Row],[Đầu tư
(Chi phí Ct)]]</f>
        <v>150</v>
      </c>
      <c r="E7" s="22">
        <f>1/(1+$B$1)^Table16[[#This Row],[Năm]]</f>
        <v>0.71818442976156283</v>
      </c>
      <c r="F7" s="22">
        <f>Table16[[#This Row],[Dòng tiền thuần tại giai đoạn t (lãi/lỗ)
CFt=Ct-  Bt ]]*Table16[[#This Row],[Hệ số chiết khấu ​tại năm t
1/ (1+r)t]]</f>
        <v>107.72766446423442</v>
      </c>
      <c r="G7" s="21">
        <f>G6+Table16[[#This Row],[Dòng tiền thuần tại giai đoạn t (lãi/lỗ)
CFt=Ct-  Bt ]]</f>
        <v>-265</v>
      </c>
      <c r="H7" s="22">
        <f>H6+Table16[[#This Row],[Giá trị hiện tại: 
PV(CFt)= CFt/(1+r)t]]</f>
        <v>-278.28928468830799</v>
      </c>
    </row>
    <row r="8" spans="1:8" x14ac:dyDescent="0.35">
      <c r="A8" s="5">
        <v>3</v>
      </c>
      <c r="B8" s="5">
        <v>30</v>
      </c>
      <c r="C8" s="24">
        <v>220</v>
      </c>
      <c r="D8" s="21">
        <f>Table16[[#This Row],[Lợi nhuận
(Lợi ích Bt)]]-Table16[[#This Row],[Đầu tư
(Chi phí Ct)]]</f>
        <v>190</v>
      </c>
      <c r="E8" s="22">
        <f>1/(1+$B$1)^Table16[[#This Row],[Năm]]</f>
        <v>0.6086308726792905</v>
      </c>
      <c r="F8" s="22">
        <f>Table16[[#This Row],[Dòng tiền thuần tại giai đoạn t (lãi/lỗ)
CFt=Ct-  Bt ]]*Table16[[#This Row],[Hệ số chiết khấu ​tại năm t
1/ (1+r)t]]</f>
        <v>115.6398658090652</v>
      </c>
      <c r="G8" s="21">
        <f>G7+Table16[[#This Row],[Dòng tiền thuần tại giai đoạn t (lãi/lỗ)
CFt=Ct-  Bt ]]</f>
        <v>-75</v>
      </c>
      <c r="H8" s="22">
        <f>H7+Table16[[#This Row],[Giá trị hiện tại: 
PV(CFt)= CFt/(1+r)t]]</f>
        <v>-162.64941887924277</v>
      </c>
    </row>
    <row r="9" spans="1:8" x14ac:dyDescent="0.35">
      <c r="A9" s="5">
        <v>4</v>
      </c>
      <c r="B9" s="5">
        <v>0</v>
      </c>
      <c r="C9" s="24">
        <v>215</v>
      </c>
      <c r="D9" s="23">
        <f>Table16[[#This Row],[Lợi nhuận
(Lợi ích Bt)]]-Table16[[#This Row],[Đầu tư
(Chi phí Ct)]]</f>
        <v>215</v>
      </c>
      <c r="E9" s="22">
        <f>1/(1+$B$1)^Table16[[#This Row],[Năm]]</f>
        <v>0.51578887515194116</v>
      </c>
      <c r="F9" s="22">
        <f>Table16[[#This Row],[Dòng tiền thuần tại giai đoạn t (lãi/lỗ)
CFt=Ct-  Bt ]]*Table16[[#This Row],[Hệ số chiết khấu ​tại năm t
1/ (1+r)t]]</f>
        <v>110.89460815766735</v>
      </c>
      <c r="G9" s="23">
        <f>G8+Table16[[#This Row],[Dòng tiền thuần tại giai đoạn t (lãi/lỗ)
CFt=Ct-  Bt ]]</f>
        <v>140</v>
      </c>
      <c r="H9" s="22">
        <f>H8+Table16[[#This Row],[Giá trị hiện tại: 
PV(CFt)= CFt/(1+r)t]]</f>
        <v>-51.754810721575424</v>
      </c>
    </row>
    <row r="10" spans="1:8" x14ac:dyDescent="0.35">
      <c r="A10" s="5">
        <v>5</v>
      </c>
      <c r="B10" s="5">
        <v>30</v>
      </c>
      <c r="C10" s="24">
        <v>205</v>
      </c>
      <c r="D10" s="23">
        <f>Table16[[#This Row],[Lợi nhuận
(Lợi ích Bt)]]-Table16[[#This Row],[Đầu tư
(Chi phí Ct)]]</f>
        <v>175</v>
      </c>
      <c r="E10" s="22">
        <f>1/(1+$B$1)^Table16[[#This Row],[Năm]]</f>
        <v>0.43710921623045873</v>
      </c>
      <c r="F10" s="22">
        <f>Table16[[#This Row],[Dòng tiền thuần tại giai đoạn t (lãi/lỗ)
CFt=Ct-  Bt ]]*Table16[[#This Row],[Hệ số chiết khấu ​tại năm t
1/ (1+r)t]]</f>
        <v>76.494112840330274</v>
      </c>
      <c r="G10" s="23">
        <f>G9+Table16[[#This Row],[Dòng tiền thuần tại giai đoạn t (lãi/lỗ)
CFt=Ct-  Bt ]]</f>
        <v>315</v>
      </c>
      <c r="H10" s="22">
        <f>H9+Table16[[#This Row],[Giá trị hiện tại: 
PV(CFt)= CFt/(1+r)t]]</f>
        <v>24.73930211875485</v>
      </c>
    </row>
    <row r="11" spans="1:8" x14ac:dyDescent="0.35">
      <c r="A11" s="5">
        <v>6</v>
      </c>
      <c r="B11" s="5">
        <v>0</v>
      </c>
      <c r="C11" s="24">
        <v>197</v>
      </c>
      <c r="D11" s="21">
        <f>Table16[[#This Row],[Lợi nhuận
(Lợi ích Bt)]]-Table16[[#This Row],[Đầu tư
(Chi phí Ct)]]</f>
        <v>197</v>
      </c>
      <c r="E11" s="22">
        <f>1/(1+$B$1)^Table16[[#This Row],[Năm]]</f>
        <v>0.37043153917835481</v>
      </c>
      <c r="F11" s="22">
        <f>Table16[[#This Row],[Dòng tiền thuần tại giai đoạn t (lãi/lỗ)
CFt=Ct-  Bt ]]*Table16[[#This Row],[Hệ số chiết khấu ​tại năm t
1/ (1+r)t]]</f>
        <v>72.975013218135899</v>
      </c>
      <c r="G11" s="21">
        <f>G10+Table16[[#This Row],[Dòng tiền thuần tại giai đoạn t (lãi/lỗ)
CFt=Ct-  Bt ]]</f>
        <v>512</v>
      </c>
      <c r="H11" s="22">
        <f>H10+Table16[[#This Row],[Giá trị hiện tại: 
PV(CFt)= CFt/(1+r)t]]</f>
        <v>97.714315336890749</v>
      </c>
    </row>
    <row r="12" spans="1:8" x14ac:dyDescent="0.35">
      <c r="A12" s="5">
        <v>7</v>
      </c>
      <c r="B12" s="5">
        <v>30</v>
      </c>
      <c r="C12" s="25">
        <v>100</v>
      </c>
      <c r="D12" s="21">
        <f>Table16[[#This Row],[Lợi nhuận
(Lợi ích Bt)]]-Table16[[#This Row],[Đầu tư
(Chi phí Ct)]]</f>
        <v>70</v>
      </c>
      <c r="E12" s="22">
        <f>1/(1+$B$1)^Table16[[#This Row],[Năm]]</f>
        <v>0.31392503320199561</v>
      </c>
      <c r="F12" s="22">
        <f>Table16[[#This Row],[Dòng tiền thuần tại giai đoạn t (lãi/lỗ)
CFt=Ct-  Bt ]]*Table16[[#This Row],[Hệ số chiết khấu ​tại năm t
1/ (1+r)t]]</f>
        <v>21.974752324139693</v>
      </c>
      <c r="G12" s="21">
        <f>G11+Table16[[#This Row],[Dòng tiền thuần tại giai đoạn t (lãi/lỗ)
CFt=Ct-  Bt ]]</f>
        <v>582</v>
      </c>
      <c r="H12" s="22">
        <f>H11+Table16[[#This Row],[Giá trị hiện tại: 
PV(CFt)= CFt/(1+r)t]]</f>
        <v>119.68906766103044</v>
      </c>
    </row>
    <row r="14" spans="1:8" x14ac:dyDescent="0.35">
      <c r="A14" s="5" t="s">
        <v>31</v>
      </c>
    </row>
    <row r="15" spans="1:8" ht="73" x14ac:dyDescent="0.35">
      <c r="A15" s="3" t="s">
        <v>0</v>
      </c>
      <c r="B15" s="1" t="s">
        <v>29</v>
      </c>
      <c r="C15" s="1" t="s">
        <v>28</v>
      </c>
      <c r="D15" s="1" t="s">
        <v>9</v>
      </c>
      <c r="E15" s="1" t="s">
        <v>7</v>
      </c>
      <c r="F15" s="1" t="s">
        <v>8</v>
      </c>
      <c r="G15" s="1" t="s">
        <v>10</v>
      </c>
      <c r="H15" s="1" t="s">
        <v>11</v>
      </c>
    </row>
    <row r="16" spans="1:8" x14ac:dyDescent="0.35">
      <c r="A16" s="5">
        <v>0</v>
      </c>
      <c r="B16" s="5">
        <v>300</v>
      </c>
      <c r="C16" s="24">
        <v>0</v>
      </c>
      <c r="D16" s="3">
        <f>Table27[[#This Row],[Lợi nhuận
(Lợi ích Bt)]]-Table27[[#This Row],[Đầu tư
(Chi phí Ct)]]</f>
        <v>-300</v>
      </c>
      <c r="E16" s="3">
        <f>1/(1+$B$1)^Table27[[#This Row],[Năm]]</f>
        <v>1</v>
      </c>
      <c r="F16" s="3">
        <f>Table27[[#This Row],[Dòng tiền thuần tại giai đoạn t
CFt= Ct-  Bt ]]*Table27[[#This Row],[Hệ số chiết khấu ​tại năm t
1/ (1+r)t]]</f>
        <v>-300</v>
      </c>
      <c r="G16" s="3">
        <f>Table27[[#This Row],[Dòng tiền thuần tại giai đoạn t
CFt= Ct-  Bt ]]</f>
        <v>-300</v>
      </c>
      <c r="H16" s="3">
        <f>Table27[[#This Row],[Giá trị hiện tại: 
PV(CFt)= CFt/(1+r)t]]</f>
        <v>-300</v>
      </c>
    </row>
    <row r="17" spans="1:9" x14ac:dyDescent="0.35">
      <c r="A17" s="5">
        <v>1</v>
      </c>
      <c r="B17" s="5">
        <v>100</v>
      </c>
      <c r="C17" s="24">
        <v>50</v>
      </c>
      <c r="D17" s="3">
        <f>Table27[[#This Row],[Lợi nhuận
(Lợi ích Bt)]]-Table27[[#This Row],[Đầu tư
(Chi phí Ct)]]</f>
        <v>-50</v>
      </c>
      <c r="E17" s="6">
        <f>1/(1+$B$1)^Table27[[#This Row],[Năm]]</f>
        <v>0.84745762711864414</v>
      </c>
      <c r="F17" s="6">
        <f>Table27[[#This Row],[Dòng tiền thuần tại giai đoạn t
CFt= Ct-  Bt ]]*Table27[[#This Row],[Hệ số chiết khấu ​tại năm t
1/ (1+r)t]]</f>
        <v>-42.372881355932208</v>
      </c>
      <c r="G17" s="3">
        <f>G16+Table27[[#This Row],[Dòng tiền thuần tại giai đoạn t
CFt= Ct-  Bt ]]</f>
        <v>-350</v>
      </c>
      <c r="H17" s="6">
        <f>H16+Table27[[#This Row],[Giá trị hiện tại: 
PV(CFt)= CFt/(1+r)t]]</f>
        <v>-342.37288135593224</v>
      </c>
    </row>
    <row r="18" spans="1:9" x14ac:dyDescent="0.35">
      <c r="A18" s="5">
        <v>2</v>
      </c>
      <c r="B18" s="5">
        <v>0</v>
      </c>
      <c r="C18" s="24">
        <v>150</v>
      </c>
      <c r="D18" s="3">
        <f>Table27[[#This Row],[Lợi nhuận
(Lợi ích Bt)]]-Table27[[#This Row],[Đầu tư
(Chi phí Ct)]]</f>
        <v>150</v>
      </c>
      <c r="E18" s="6">
        <f>1/(1+$B$1)^Table27[[#This Row],[Năm]]</f>
        <v>0.71818442976156283</v>
      </c>
      <c r="F18" s="6">
        <f>Table27[[#This Row],[Dòng tiền thuần tại giai đoạn t
CFt= Ct-  Bt ]]*Table27[[#This Row],[Hệ số chiết khấu ​tại năm t
1/ (1+r)t]]</f>
        <v>107.72766446423442</v>
      </c>
      <c r="G18" s="3">
        <f>G17+Table27[[#This Row],[Dòng tiền thuần tại giai đoạn t
CFt= Ct-  Bt ]]</f>
        <v>-200</v>
      </c>
      <c r="H18" s="6">
        <f>H17+Table27[[#This Row],[Giá trị hiện tại: 
PV(CFt)= CFt/(1+r)t]]</f>
        <v>-234.64521689169783</v>
      </c>
    </row>
    <row r="19" spans="1:9" x14ac:dyDescent="0.35">
      <c r="A19" s="5">
        <v>3</v>
      </c>
      <c r="B19" s="5">
        <v>50</v>
      </c>
      <c r="C19" s="24">
        <v>250</v>
      </c>
      <c r="D19" s="3">
        <f>Table27[[#This Row],[Lợi nhuận
(Lợi ích Bt)]]-Table27[[#This Row],[Đầu tư
(Chi phí Ct)]]</f>
        <v>200</v>
      </c>
      <c r="E19" s="6">
        <f>1/(1+$B$1)^Table27[[#This Row],[Năm]]</f>
        <v>0.6086308726792905</v>
      </c>
      <c r="F19" s="6">
        <f>Table27[[#This Row],[Dòng tiền thuần tại giai đoạn t
CFt= Ct-  Bt ]]*Table27[[#This Row],[Hệ số chiết khấu ​tại năm t
1/ (1+r)t]]</f>
        <v>121.72617453585811</v>
      </c>
      <c r="G19" s="3">
        <f>G18+Table27[[#This Row],[Dòng tiền thuần tại giai đoạn t
CFt= Ct-  Bt ]]</f>
        <v>0</v>
      </c>
      <c r="H19" s="6">
        <f>H18+Table27[[#This Row],[Giá trị hiện tại: 
PV(CFt)= CFt/(1+r)t]]</f>
        <v>-112.91904235583972</v>
      </c>
    </row>
    <row r="20" spans="1:9" x14ac:dyDescent="0.35">
      <c r="A20" s="5">
        <v>4</v>
      </c>
      <c r="B20" s="5">
        <v>0</v>
      </c>
      <c r="C20" s="24">
        <v>250</v>
      </c>
      <c r="D20" s="3">
        <f>Table27[[#This Row],[Lợi nhuận
(Lợi ích Bt)]]-Table27[[#This Row],[Đầu tư
(Chi phí Ct)]]</f>
        <v>250</v>
      </c>
      <c r="E20" s="6">
        <f>1/(1+$B$1)^Table27[[#This Row],[Năm]]</f>
        <v>0.51578887515194116</v>
      </c>
      <c r="F20" s="6">
        <f>Table27[[#This Row],[Dòng tiền thuần tại giai đoạn t
CFt= Ct-  Bt ]]*Table27[[#This Row],[Hệ số chiết khấu ​tại năm t
1/ (1+r)t]]</f>
        <v>128.94721878798529</v>
      </c>
      <c r="G20" s="3">
        <f>G19+Table27[[#This Row],[Dòng tiền thuần tại giai đoạn t
CFt= Ct-  Bt ]]</f>
        <v>250</v>
      </c>
      <c r="H20" s="6">
        <f>H19+Table27[[#This Row],[Giá trị hiện tại: 
PV(CFt)= CFt/(1+r)t]]</f>
        <v>16.028176432145571</v>
      </c>
    </row>
    <row r="21" spans="1:9" x14ac:dyDescent="0.35">
      <c r="A21" s="5">
        <v>5</v>
      </c>
      <c r="B21" s="5">
        <v>50</v>
      </c>
      <c r="C21" s="24">
        <v>200</v>
      </c>
      <c r="D21" s="16">
        <f>Table27[[#This Row],[Lợi nhuận
(Lợi ích Bt)]]-Table27[[#This Row],[Đầu tư
(Chi phí Ct)]]</f>
        <v>150</v>
      </c>
      <c r="E21" s="6">
        <f>1/(1+$B$1)^Table27[[#This Row],[Năm]]</f>
        <v>0.43710921623045873</v>
      </c>
      <c r="F21" s="6">
        <f>Table27[[#This Row],[Dòng tiền thuần tại giai đoạn t
CFt= Ct-  Bt ]]*Table27[[#This Row],[Hệ số chiết khấu ​tại năm t
1/ (1+r)t]]</f>
        <v>65.566382434568808</v>
      </c>
      <c r="G21" s="16">
        <f>G20+Table27[[#This Row],[Dòng tiền thuần tại giai đoạn t
CFt= Ct-  Bt ]]</f>
        <v>400</v>
      </c>
      <c r="H21" s="6">
        <f>H20+Table27[[#This Row],[Giá trị hiện tại: 
PV(CFt)= CFt/(1+r)t]]</f>
        <v>81.59455886671438</v>
      </c>
    </row>
    <row r="22" spans="1:9" x14ac:dyDescent="0.35">
      <c r="A22" s="5">
        <v>6</v>
      </c>
      <c r="B22" s="5">
        <v>0</v>
      </c>
      <c r="C22" s="24">
        <v>180</v>
      </c>
      <c r="D22" s="16">
        <f>Table27[[#This Row],[Lợi nhuận
(Lợi ích Bt)]]-Table27[[#This Row],[Đầu tư
(Chi phí Ct)]]</f>
        <v>180</v>
      </c>
      <c r="E22" s="6">
        <f>1/(1+$B$1)^Table27[[#This Row],[Năm]]</f>
        <v>0.37043153917835481</v>
      </c>
      <c r="F22" s="6">
        <f>Table27[[#This Row],[Dòng tiền thuần tại giai đoạn t
CFt= Ct-  Bt ]]*Table27[[#This Row],[Hệ số chiết khấu ​tại năm t
1/ (1+r)t]]</f>
        <v>66.67767705210386</v>
      </c>
      <c r="G22" s="16">
        <f>G21+Table27[[#This Row],[Dòng tiền thuần tại giai đoạn t
CFt= Ct-  Bt ]]</f>
        <v>580</v>
      </c>
      <c r="H22" s="6">
        <f>H21+Table27[[#This Row],[Giá trị hiện tại: 
PV(CFt)= CFt/(1+r)t]]</f>
        <v>148.27223591881824</v>
      </c>
    </row>
    <row r="23" spans="1:9" x14ac:dyDescent="0.35">
      <c r="A23" s="5">
        <v>7</v>
      </c>
      <c r="B23" s="5">
        <v>50</v>
      </c>
      <c r="C23" s="25">
        <v>120</v>
      </c>
      <c r="D23" s="3">
        <f>Table27[[#This Row],[Lợi nhuận
(Lợi ích Bt)]]-Table27[[#This Row],[Đầu tư
(Chi phí Ct)]]</f>
        <v>70</v>
      </c>
      <c r="E23" s="6">
        <f>1/(1+$B$1)^Table27[[#This Row],[Năm]]</f>
        <v>0.31392503320199561</v>
      </c>
      <c r="F23" s="6">
        <f>Table27[[#This Row],[Dòng tiền thuần tại giai đoạn t
CFt= Ct-  Bt ]]*Table27[[#This Row],[Hệ số chiết khấu ​tại năm t
1/ (1+r)t]]</f>
        <v>21.974752324139693</v>
      </c>
      <c r="G23" s="3">
        <f>G22+Table27[[#This Row],[Dòng tiền thuần tại giai đoạn t
CFt= Ct-  Bt ]]</f>
        <v>650</v>
      </c>
      <c r="H23" s="6">
        <f>H22+Table27[[#This Row],[Giá trị hiện tại: 
PV(CFt)= CFt/(1+r)t]]</f>
        <v>170.24698824295794</v>
      </c>
    </row>
    <row r="25" spans="1:9" x14ac:dyDescent="0.35">
      <c r="A25" s="3" t="s">
        <v>18</v>
      </c>
    </row>
    <row r="26" spans="1:9" ht="53.5" x14ac:dyDescent="0.35">
      <c r="A26" s="1" t="s">
        <v>19</v>
      </c>
      <c r="B26" s="3" t="s">
        <v>14</v>
      </c>
      <c r="C26" s="17" t="s">
        <v>32</v>
      </c>
      <c r="D26" s="1" t="s">
        <v>15</v>
      </c>
      <c r="E26" s="1" t="s">
        <v>27</v>
      </c>
      <c r="F26" s="1" t="s">
        <v>26</v>
      </c>
      <c r="G26" s="1" t="s">
        <v>20</v>
      </c>
      <c r="H26" s="1" t="s">
        <v>16</v>
      </c>
      <c r="I26" s="3" t="s">
        <v>17</v>
      </c>
    </row>
    <row r="27" spans="1:9" ht="17.5" x14ac:dyDescent="0.35">
      <c r="A27" s="7" t="s">
        <v>30</v>
      </c>
      <c r="B27" s="7">
        <f>SUMPRODUCT(Table16[Đầu tư
(Chi phí Ct)],Table16[Hệ số chiết khấu ​tại năm t
1/ (1+r)t])</f>
        <v>426.80690281589472</v>
      </c>
      <c r="C27" s="18">
        <f>SUMPRODUCT(Table16[Lợi nhuận
(Lợi ích Bt)],Table16[Hệ số chiết khấu ​tại năm t
1/ (1+r)t])</f>
        <v>546.49597047692521</v>
      </c>
      <c r="D27" s="7">
        <f>Table38[[#This Row],[PV(B)= ∑tt=0  Bt/(1+r)t
]]-Table38[[#This Row],[PV(C)= ∑tt=0  Ct/(1+r)t]]</f>
        <v>119.68906766103049</v>
      </c>
      <c r="E27" s="8">
        <f>Table38[[#This Row],[a) Giá trị hiện tại thuần
NPV= PV(B)-PV(C)]]/Table38[[#This Row],[PV(B)= ∑tt=0  Bt/(1+r)t
]]</f>
        <v>0.21901180269742565</v>
      </c>
      <c r="F27" s="8">
        <f>Table38[[#This Row],[PV(C)= ∑tt=0  Ct/(1+r)t]]/Table38[[#This Row],[PV(B)= ∑tt=0  Bt/(1+r)t
]]</f>
        <v>0.78098819730257441</v>
      </c>
      <c r="G27" s="14">
        <f>IRR($D$5:$D$12)</f>
        <v>0.27688388884647996</v>
      </c>
      <c r="H27" s="7" cm="1">
        <f t="array" ref="H27">_xlfn.LET(_xlpm.c,$G$5:$G$12,
     _xlpm.pos,MATCH(TRUE,_xlpm.c&gt;=0,0),
     _xlpm.a,INDEX($A$5:$A$12,_xlpm.pos-1),
     _xlpm.b,-INDEX($G$5:$G$12,_xlpm.pos-1),
     _xlpm.cflow,INDEX($D$5:$D$12,_xlpm.pos),
     IFERROR(_xlpm.a + _xlpm.b/_xlpm.cflow,"Chưa hoàn vốn"))</f>
        <v>3.3488372093023258</v>
      </c>
      <c r="I27" s="7" cm="1">
        <f t="array" ref="I27">_xlfn.LET(_xlpm.c,$H$5:$H$12,
     _xlpm.pos,MATCH(TRUE,_xlpm.c&gt;=0,0),
     _xlpm.a,INDEX($A$5:$A$12,_xlpm.pos-1),
     _xlpm.b,-INDEX($H$5:$H$12,_xlpm.pos-1),
     _xlpm.cflow,INDEX($F$5:$F$12,_xlpm.pos),
     IFERROR(_xlpm.a + _xlpm.b/_xlpm.cflow,"Chưa hoàn vốn"))</f>
        <v>4.6765855410285706</v>
      </c>
    </row>
    <row r="29" spans="1:9" ht="52.5" x14ac:dyDescent="0.35">
      <c r="A29" s="10" t="s">
        <v>19</v>
      </c>
      <c r="B29" s="11" t="s">
        <v>22</v>
      </c>
      <c r="C29" s="19" t="s">
        <v>33</v>
      </c>
      <c r="D29" s="12" t="s">
        <v>15</v>
      </c>
      <c r="E29" s="12" t="s">
        <v>25</v>
      </c>
      <c r="F29" s="10" t="s">
        <v>24</v>
      </c>
      <c r="G29" s="10" t="s">
        <v>23</v>
      </c>
      <c r="H29" s="10" t="s">
        <v>16</v>
      </c>
      <c r="I29" s="11" t="s">
        <v>17</v>
      </c>
    </row>
    <row r="30" spans="1:9" ht="17.5" x14ac:dyDescent="0.35">
      <c r="A30" s="9" t="s">
        <v>2</v>
      </c>
      <c r="B30" s="9">
        <f>SUMPRODUCT(Table27[Đầu tư
(Chi phí Ct)],Table27[Hệ số chiết khấu ​tại năm t
1/ (1+r)t])</f>
        <v>452.72901881745167</v>
      </c>
      <c r="C30" s="20">
        <f>SUMPRODUCT(Table27[Lợi nhuận
(Lợi ích Bt)],Table27[Hệ số chiết khấu ​tại năm t
1/ (1+r)t])</f>
        <v>622.97600706040964</v>
      </c>
      <c r="D30" s="9">
        <f>Table49[[#This Row],[PV(B)= ∑tt=0  Bt/(1+r)t
]]-Table49[[#This Row],[PV(C)= ∑tt=0  Ct/(1+r)t]]</f>
        <v>170.24698824295797</v>
      </c>
      <c r="E30" s="13">
        <f>Table49[[#This Row],[a) Giá trị hiện tại thuần
NPV= PV(B)-PV(C)]]/Table49[[#This Row],[PV(B)= ∑tt=0  Bt/(1+r)t
]]</f>
        <v>0.27328016859957371</v>
      </c>
      <c r="F30" s="13">
        <f>Table49[[#This Row],[PV(C)= ∑tt=0  Ct/(1+r)t]]/Table49[[#This Row],[PV(B)= ∑tt=0  Bt/(1+r)t
]]</f>
        <v>0.72671983140042629</v>
      </c>
      <c r="G30" s="15">
        <f>IRR($D$16:$D$23)</f>
        <v>0.31888499080024046</v>
      </c>
      <c r="H30" s="9" cm="1">
        <f t="array" ref="H30">_xlfn.LET(_xlpm.c,Table27[Lũy kế CF
(Không chiết khấu)
∑t CFt
i=0 ],
     _xlpm.pos,MATCH(TRUE,_xlpm.c&gt;=0,0),
     _xlpm.a,INDEX($A$16:$A$23,_xlpm.pos-1),
     _xlpm.b,-INDEX(Table27[Lũy kế CF
(Không chiết khấu)
∑t CFt
i=0 ],_xlpm.pos-1),
     _xlpm.cflow,INDEX($D$16:$D$23,_xlpm.pos),
     IFERROR(_xlpm.a + _xlpm.b/_xlpm.cflow,"Chưa hoàn vốn"))</f>
        <v>3</v>
      </c>
      <c r="I30" s="9" cm="1">
        <f t="array" ref="I30">_xlfn.LET(_xlpm.c,$H$16:$H$23,
     _xlpm.pos,MATCH(TRUE,_xlpm.c&gt;=0,0),
     _xlpm.a,INDEX($A$16:$A$23,_xlpm.pos-1),
     _xlpm.b,-INDEX($H$16:$H$23,_xlpm.pos-1),
     _xlpm.cflow,INDEX($F$16:$F$23,_xlpm.pos),
     IFERROR(_xlpm.a + _xlpm.b/_xlpm.cflow,"Chưa hoàn vốn"))</f>
        <v>3.8756997120000003</v>
      </c>
    </row>
    <row r="31" spans="1:9" x14ac:dyDescent="0.35">
      <c r="A31" s="1"/>
      <c r="C31" s="1"/>
      <c r="D31" s="1"/>
      <c r="F31" s="1"/>
    </row>
    <row r="32" spans="1:9" ht="17.5" x14ac:dyDescent="0.35">
      <c r="A32" s="7"/>
      <c r="C32" s="7"/>
      <c r="D32" s="7"/>
      <c r="E32" s="7"/>
      <c r="F32" s="7"/>
      <c r="G32" s="7"/>
    </row>
    <row r="33" spans="1:9" x14ac:dyDescent="0.35">
      <c r="A33" s="1"/>
      <c r="D33" s="1"/>
      <c r="E33" s="1"/>
      <c r="F33" s="1"/>
      <c r="G33" s="1"/>
      <c r="H33" s="1"/>
    </row>
    <row r="34" spans="1:9" ht="17.5" x14ac:dyDescent="0.35">
      <c r="A34" s="7"/>
      <c r="C34" s="7"/>
      <c r="D34" s="7"/>
      <c r="E34" s="8"/>
      <c r="F34" s="8"/>
      <c r="G34" s="14"/>
      <c r="H34" s="7"/>
      <c r="I34" s="7"/>
    </row>
    <row r="36" spans="1:9" ht="17.5" x14ac:dyDescent="0.35">
      <c r="A36" s="10"/>
      <c r="C36" s="11"/>
      <c r="D36" s="12"/>
      <c r="E36" s="12"/>
      <c r="F36" s="10"/>
      <c r="G36" s="10"/>
      <c r="H36" s="10"/>
      <c r="I36" s="11"/>
    </row>
    <row r="37" spans="1:9" ht="17.5" x14ac:dyDescent="0.35">
      <c r="A37" s="9"/>
      <c r="C37" s="9"/>
      <c r="D37" s="9"/>
      <c r="E37" s="13"/>
      <c r="F37" s="13"/>
      <c r="G37" s="15"/>
      <c r="H37" s="9"/>
      <c r="I37" s="9"/>
    </row>
  </sheetData>
  <pageMargins left="0.7" right="0.7" top="0.75" bottom="0.75" header="0.3" footer="0.3"/>
  <pageSetup orientation="portrait" r:id="rId1"/>
  <ignoredErrors>
    <ignoredError sqref="G6:G12 H6:H12 G17:G23 H17:H23" calculatedColumn="1"/>
  </ignoredErrors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8BCF-5410-4ED6-9F26-7A775B95F7BA}">
  <dimension ref="A1:I28"/>
  <sheetViews>
    <sheetView zoomScale="46" zoomScaleNormal="100" workbookViewId="0">
      <selection activeCell="A22" sqref="A22:I26"/>
    </sheetView>
  </sheetViews>
  <sheetFormatPr defaultRowHeight="16.5" x14ac:dyDescent="0.35"/>
  <cols>
    <col min="1" max="1" width="19.1796875" style="3" customWidth="1"/>
    <col min="2" max="2" width="28.08984375" style="3" bestFit="1" customWidth="1"/>
    <col min="3" max="3" width="24.36328125" style="3" customWidth="1"/>
    <col min="4" max="4" width="23.81640625" style="3" bestFit="1" customWidth="1"/>
    <col min="5" max="5" width="27.90625" style="3" bestFit="1" customWidth="1"/>
    <col min="6" max="6" width="24.453125" style="3" bestFit="1" customWidth="1"/>
    <col min="7" max="7" width="21.81640625" style="3" customWidth="1"/>
    <col min="8" max="8" width="26.1796875" style="3" customWidth="1"/>
    <col min="9" max="9" width="15.1796875" style="3" customWidth="1"/>
    <col min="10" max="10" width="26.54296875" style="3" customWidth="1"/>
    <col min="11" max="11" width="25.1796875" style="3" customWidth="1"/>
    <col min="12" max="13" width="25.90625" style="3" bestFit="1" customWidth="1"/>
    <col min="14" max="16384" width="8.7265625" style="3"/>
  </cols>
  <sheetData>
    <row r="1" spans="1:8" ht="33" x14ac:dyDescent="0.35">
      <c r="A1" s="1" t="s">
        <v>3</v>
      </c>
      <c r="B1" s="2">
        <v>0.17</v>
      </c>
    </row>
    <row r="2" spans="1:8" x14ac:dyDescent="0.35">
      <c r="A2" s="4"/>
    </row>
    <row r="3" spans="1:8" x14ac:dyDescent="0.35">
      <c r="A3" s="5" t="s">
        <v>1</v>
      </c>
    </row>
    <row r="4" spans="1:8" ht="73" x14ac:dyDescent="0.35">
      <c r="A4" s="3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12</v>
      </c>
      <c r="H4" s="1" t="s">
        <v>11</v>
      </c>
    </row>
    <row r="5" spans="1:8" x14ac:dyDescent="0.35">
      <c r="A5" s="5">
        <v>0</v>
      </c>
      <c r="B5" s="5">
        <v>500</v>
      </c>
      <c r="C5" s="5"/>
      <c r="D5" s="3">
        <f>Table1[[#This Row],[Lợi nhuận
(Lợi ích Bt)]]-Table1[[#This Row],[Đầu tư
(Chi phí Ct)]]</f>
        <v>-500</v>
      </c>
      <c r="E5" s="3">
        <f>1/(1+$B$1)^Table1[[#This Row],[Năm]]</f>
        <v>1</v>
      </c>
      <c r="F5" s="3">
        <f>Table1[[#This Row],[Dòng tiền thuần tại giai đoạn t (lãi/lỗ)
CFt=Ct-  Bt ]]*Table1[[#This Row],[Hệ số chiết khấu ​tại năm t
1/ (1+r)t]]</f>
        <v>-500</v>
      </c>
      <c r="G5" s="3">
        <f>Table1[[#This Row],[Dòng tiền thuần tại giai đoạn t (lãi/lỗ)
CFt=Ct-  Bt ]]</f>
        <v>-500</v>
      </c>
      <c r="H5" s="3">
        <f>Table1[[#This Row],[Giá trị hiện tại: 
PV(CFt)= CFt/(1+r)t]]</f>
        <v>-500</v>
      </c>
    </row>
    <row r="6" spans="1:8" x14ac:dyDescent="0.35">
      <c r="A6" s="5">
        <v>1</v>
      </c>
      <c r="B6" s="5">
        <v>0</v>
      </c>
      <c r="C6" s="5">
        <v>250</v>
      </c>
      <c r="D6" s="3">
        <f>Table1[[#This Row],[Lợi nhuận
(Lợi ích Bt)]]-Table1[[#This Row],[Đầu tư
(Chi phí Ct)]]</f>
        <v>250</v>
      </c>
      <c r="E6" s="6">
        <f>1/(1+$B$1)^Table1[[#This Row],[Năm]]</f>
        <v>0.85470085470085477</v>
      </c>
      <c r="F6" s="6">
        <f>Table1[[#This Row],[Dòng tiền thuần tại giai đoạn t (lãi/lỗ)
CFt=Ct-  Bt ]]*Table1[[#This Row],[Hệ số chiết khấu ​tại năm t
1/ (1+r)t]]</f>
        <v>213.67521367521368</v>
      </c>
      <c r="G6" s="3">
        <f>G5+Table1[[#This Row],[Dòng tiền thuần tại giai đoạn t (lãi/lỗ)
CFt=Ct-  Bt ]]</f>
        <v>-250</v>
      </c>
      <c r="H6" s="6">
        <f>H5+Table1[[#This Row],[Giá trị hiện tại: 
PV(CFt)= CFt/(1+r)t]]</f>
        <v>-286.32478632478632</v>
      </c>
    </row>
    <row r="7" spans="1:8" x14ac:dyDescent="0.35">
      <c r="A7" s="5">
        <v>2</v>
      </c>
      <c r="B7" s="5">
        <v>100</v>
      </c>
      <c r="C7" s="5">
        <v>350</v>
      </c>
      <c r="D7" s="3">
        <f>Table1[[#This Row],[Lợi nhuận
(Lợi ích Bt)]]-Table1[[#This Row],[Đầu tư
(Chi phí Ct)]]</f>
        <v>250</v>
      </c>
      <c r="E7" s="6">
        <f>1/(1+$B$1)^Table1[[#This Row],[Năm]]</f>
        <v>0.73051355102637161</v>
      </c>
      <c r="F7" s="6">
        <f>Table1[[#This Row],[Dòng tiền thuần tại giai đoạn t (lãi/lỗ)
CFt=Ct-  Bt ]]*Table1[[#This Row],[Hệ số chiết khấu ​tại năm t
1/ (1+r)t]]</f>
        <v>182.6283877565929</v>
      </c>
      <c r="G7" s="3">
        <f>G6+Table1[[#This Row],[Dòng tiền thuần tại giai đoạn t (lãi/lỗ)
CFt=Ct-  Bt ]]</f>
        <v>0</v>
      </c>
      <c r="H7" s="6">
        <f>H6+Table1[[#This Row],[Giá trị hiện tại: 
PV(CFt)= CFt/(1+r)t]]</f>
        <v>-103.69639856819342</v>
      </c>
    </row>
    <row r="8" spans="1:8" x14ac:dyDescent="0.35">
      <c r="A8" s="5">
        <v>3</v>
      </c>
      <c r="B8" s="5">
        <v>0</v>
      </c>
      <c r="C8" s="5">
        <v>450</v>
      </c>
      <c r="D8" s="3">
        <f>Table1[[#This Row],[Lợi nhuận
(Lợi ích Bt)]]-Table1[[#This Row],[Đầu tư
(Chi phí Ct)]]</f>
        <v>450</v>
      </c>
      <c r="E8" s="6">
        <f>1/(1+$B$1)^Table1[[#This Row],[Năm]]</f>
        <v>0.62437055643279626</v>
      </c>
      <c r="F8" s="6">
        <f>Table1[[#This Row],[Dòng tiền thuần tại giai đoạn t (lãi/lỗ)
CFt=Ct-  Bt ]]*Table1[[#This Row],[Hệ số chiết khấu ​tại năm t
1/ (1+r)t]]</f>
        <v>280.96675039475832</v>
      </c>
      <c r="G8" s="3">
        <f>G7+Table1[[#This Row],[Dòng tiền thuần tại giai đoạn t (lãi/lỗ)
CFt=Ct-  Bt ]]</f>
        <v>450</v>
      </c>
      <c r="H8" s="6">
        <f>H7+Table1[[#This Row],[Giá trị hiện tại: 
PV(CFt)= CFt/(1+r)t]]</f>
        <v>177.27035182656491</v>
      </c>
    </row>
    <row r="9" spans="1:8" x14ac:dyDescent="0.35">
      <c r="A9" s="5">
        <v>4</v>
      </c>
      <c r="B9" s="5">
        <v>0</v>
      </c>
      <c r="C9" s="5">
        <v>500</v>
      </c>
      <c r="D9" s="3">
        <f>Table1[[#This Row],[Lợi nhuận
(Lợi ích Bt)]]-Table1[[#This Row],[Đầu tư
(Chi phí Ct)]]</f>
        <v>500</v>
      </c>
      <c r="E9" s="6">
        <f>1/(1+$B$1)^Table1[[#This Row],[Năm]]</f>
        <v>0.53365004823315931</v>
      </c>
      <c r="F9" s="6">
        <f>Table1[[#This Row],[Dòng tiền thuần tại giai đoạn t (lãi/lỗ)
CFt=Ct-  Bt ]]*Table1[[#This Row],[Hệ số chiết khấu ​tại năm t
1/ (1+r)t]]</f>
        <v>266.82502411657964</v>
      </c>
      <c r="G9" s="3">
        <f>G8+Table1[[#This Row],[Dòng tiền thuần tại giai đoạn t (lãi/lỗ)
CFt=Ct-  Bt ]]</f>
        <v>950</v>
      </c>
      <c r="H9" s="6">
        <f>H8+Table1[[#This Row],[Giá trị hiện tại: 
PV(CFt)= CFt/(1+r)t]]</f>
        <v>444.09537594314452</v>
      </c>
    </row>
    <row r="10" spans="1:8" x14ac:dyDescent="0.35">
      <c r="A10" s="5">
        <v>5</v>
      </c>
      <c r="B10" s="5">
        <v>0</v>
      </c>
      <c r="C10" s="5">
        <v>-100</v>
      </c>
      <c r="D10" s="3">
        <f>Table1[[#This Row],[Lợi nhuận
(Lợi ích Bt)]]-Table1[[#This Row],[Đầu tư
(Chi phí Ct)]]</f>
        <v>-100</v>
      </c>
      <c r="E10" s="6">
        <f>1/(1+$B$1)^Table1[[#This Row],[Năm]]</f>
        <v>0.45611115233603361</v>
      </c>
      <c r="F10" s="6">
        <f>Table1[[#This Row],[Dòng tiền thuần tại giai đoạn t (lãi/lỗ)
CFt=Ct-  Bt ]]*Table1[[#This Row],[Hệ số chiết khấu ​tại năm t
1/ (1+r)t]]</f>
        <v>-45.611115233603364</v>
      </c>
      <c r="G10" s="3">
        <f>G9+Table1[[#This Row],[Dòng tiền thuần tại giai đoạn t (lãi/lỗ)
CFt=Ct-  Bt ]]</f>
        <v>850</v>
      </c>
      <c r="H10" s="6">
        <f>H9+Table1[[#This Row],[Giá trị hiện tại: 
PV(CFt)= CFt/(1+r)t]]</f>
        <v>398.48426070954116</v>
      </c>
    </row>
    <row r="12" spans="1:8" x14ac:dyDescent="0.35">
      <c r="A12" s="5" t="s">
        <v>2</v>
      </c>
    </row>
    <row r="13" spans="1:8" ht="73" x14ac:dyDescent="0.35">
      <c r="A13" s="3" t="s">
        <v>0</v>
      </c>
      <c r="B13" s="1" t="s">
        <v>29</v>
      </c>
      <c r="C13" s="1" t="s">
        <v>28</v>
      </c>
      <c r="D13" s="1" t="s">
        <v>9</v>
      </c>
      <c r="E13" s="1" t="s">
        <v>7</v>
      </c>
      <c r="F13" s="1" t="s">
        <v>8</v>
      </c>
      <c r="G13" s="1" t="s">
        <v>10</v>
      </c>
      <c r="H13" s="1" t="s">
        <v>11</v>
      </c>
    </row>
    <row r="14" spans="1:8" x14ac:dyDescent="0.35">
      <c r="A14" s="5">
        <v>0</v>
      </c>
      <c r="B14" s="5">
        <v>100</v>
      </c>
      <c r="C14" s="5"/>
      <c r="D14" s="3">
        <f>Table2[[#This Row],[Lợi nhuận
(Lợi ích Bt)]]-Table2[[#This Row],[Đầu tư
(Chi phí Ct)]]</f>
        <v>-100</v>
      </c>
      <c r="E14" s="3">
        <f>1/(1+$B$1)^Table2[[#This Row],[Năm]]</f>
        <v>1</v>
      </c>
      <c r="F14" s="3">
        <f>Table2[[#This Row],[Dòng tiền thuần tại giai đoạn t
CFt= Ct-  Bt ]]*Table2[[#This Row],[Hệ số chiết khấu ​tại năm t
1/ (1+r)t]]</f>
        <v>-100</v>
      </c>
      <c r="G14" s="3">
        <f>Table2[[#This Row],[Dòng tiền thuần tại giai đoạn t
CFt= Ct-  Bt ]]</f>
        <v>-100</v>
      </c>
      <c r="H14" s="3">
        <f>Table2[[#This Row],[Giá trị hiện tại: 
PV(CFt)= CFt/(1+r)t]]</f>
        <v>-100</v>
      </c>
    </row>
    <row r="15" spans="1:8" x14ac:dyDescent="0.35">
      <c r="A15" s="5">
        <v>1</v>
      </c>
      <c r="B15" s="5">
        <v>0</v>
      </c>
      <c r="C15" s="5">
        <v>-100</v>
      </c>
      <c r="D15" s="3">
        <f>Table2[[#This Row],[Lợi nhuận
(Lợi ích Bt)]]-Table2[[#This Row],[Đầu tư
(Chi phí Ct)]]</f>
        <v>-100</v>
      </c>
      <c r="E15" s="6">
        <f>1/(1+$B$1)^Table2[[#This Row],[Năm]]</f>
        <v>0.85470085470085477</v>
      </c>
      <c r="F15" s="6">
        <f>Table2[[#This Row],[Dòng tiền thuần tại giai đoạn t
CFt= Ct-  Bt ]]*Table2[[#This Row],[Hệ số chiết khấu ​tại năm t
1/ (1+r)t]]</f>
        <v>-85.470085470085479</v>
      </c>
      <c r="G15" s="3">
        <f>G14+Table2[[#This Row],[Dòng tiền thuần tại giai đoạn t
CFt= Ct-  Bt ]]</f>
        <v>-200</v>
      </c>
      <c r="H15" s="6">
        <f>H14+Table2[[#This Row],[Giá trị hiện tại: 
PV(CFt)= CFt/(1+r)t]]</f>
        <v>-185.47008547008548</v>
      </c>
    </row>
    <row r="16" spans="1:8" x14ac:dyDescent="0.35">
      <c r="A16" s="5">
        <v>2</v>
      </c>
      <c r="B16" s="5">
        <v>50</v>
      </c>
      <c r="C16" s="5">
        <v>200</v>
      </c>
      <c r="D16" s="3">
        <f>Table2[[#This Row],[Lợi nhuận
(Lợi ích Bt)]]-Table2[[#This Row],[Đầu tư
(Chi phí Ct)]]</f>
        <v>150</v>
      </c>
      <c r="E16" s="6">
        <f>1/(1+$B$1)^Table2[[#This Row],[Năm]]</f>
        <v>0.73051355102637161</v>
      </c>
      <c r="F16" s="6">
        <f>Table2[[#This Row],[Dòng tiền thuần tại giai đoạn t
CFt= Ct-  Bt ]]*Table2[[#This Row],[Hệ số chiết khấu ​tại năm t
1/ (1+r)t]]</f>
        <v>109.57703265395574</v>
      </c>
      <c r="G16" s="3">
        <f>G15+Table2[[#This Row],[Dòng tiền thuần tại giai đoạn t
CFt= Ct-  Bt ]]</f>
        <v>-50</v>
      </c>
      <c r="H16" s="6">
        <f>H15+Table2[[#This Row],[Giá trị hiện tại: 
PV(CFt)= CFt/(1+r)t]]</f>
        <v>-75.893052816129739</v>
      </c>
    </row>
    <row r="17" spans="1:9" x14ac:dyDescent="0.35">
      <c r="A17" s="5">
        <v>3</v>
      </c>
      <c r="B17" s="5">
        <v>0</v>
      </c>
      <c r="C17" s="5">
        <v>200</v>
      </c>
      <c r="D17" s="3">
        <f>Table2[[#This Row],[Lợi nhuận
(Lợi ích Bt)]]-Table2[[#This Row],[Đầu tư
(Chi phí Ct)]]</f>
        <v>200</v>
      </c>
      <c r="E17" s="6">
        <f>1/(1+$B$1)^Table2[[#This Row],[Năm]]</f>
        <v>0.62437055643279626</v>
      </c>
      <c r="F17" s="6">
        <f>Table2[[#This Row],[Dòng tiền thuần tại giai đoạn t
CFt= Ct-  Bt ]]*Table2[[#This Row],[Hệ số chiết khấu ​tại năm t
1/ (1+r)t]]</f>
        <v>124.87411128655926</v>
      </c>
      <c r="G17" s="3">
        <f>G16+Table2[[#This Row],[Dòng tiền thuần tại giai đoạn t
CFt= Ct-  Bt ]]</f>
        <v>150</v>
      </c>
      <c r="H17" s="6">
        <f>H16+Table2[[#This Row],[Giá trị hiện tại: 
PV(CFt)= CFt/(1+r)t]]</f>
        <v>48.981058470429517</v>
      </c>
    </row>
    <row r="18" spans="1:9" x14ac:dyDescent="0.35">
      <c r="A18" s="5">
        <v>4</v>
      </c>
      <c r="B18" s="5">
        <v>0</v>
      </c>
      <c r="C18" s="5">
        <v>200</v>
      </c>
      <c r="D18" s="3">
        <f>Table2[[#This Row],[Lợi nhuận
(Lợi ích Bt)]]-Table2[[#This Row],[Đầu tư
(Chi phí Ct)]]</f>
        <v>200</v>
      </c>
      <c r="E18" s="6">
        <f>1/(1+$B$1)^Table2[[#This Row],[Năm]]</f>
        <v>0.53365004823315931</v>
      </c>
      <c r="F18" s="6">
        <f>Table2[[#This Row],[Dòng tiền thuần tại giai đoạn t
CFt= Ct-  Bt ]]*Table2[[#This Row],[Hệ số chiết khấu ​tại năm t
1/ (1+r)t]]</f>
        <v>106.73000964663186</v>
      </c>
      <c r="G18" s="3">
        <f>G17+Table2[[#This Row],[Dòng tiền thuần tại giai đoạn t
CFt= Ct-  Bt ]]</f>
        <v>350</v>
      </c>
      <c r="H18" s="6">
        <f>H17+Table2[[#This Row],[Giá trị hiện tại: 
PV(CFt)= CFt/(1+r)t]]</f>
        <v>155.71106811706136</v>
      </c>
    </row>
    <row r="19" spans="1:9" x14ac:dyDescent="0.35">
      <c r="A19" s="5">
        <v>5</v>
      </c>
      <c r="B19" s="5">
        <v>0</v>
      </c>
      <c r="C19" s="5">
        <v>300</v>
      </c>
      <c r="D19" s="3">
        <f>Table2[[#This Row],[Lợi nhuận
(Lợi ích Bt)]]-Table2[[#This Row],[Đầu tư
(Chi phí Ct)]]</f>
        <v>300</v>
      </c>
      <c r="E19" s="6">
        <f>1/(1+$B$1)^Table2[[#This Row],[Năm]]</f>
        <v>0.45611115233603361</v>
      </c>
      <c r="F19" s="6">
        <f>Table2[[#This Row],[Dòng tiền thuần tại giai đoạn t
CFt= Ct-  Bt ]]*Table2[[#This Row],[Hệ số chiết khấu ​tại năm t
1/ (1+r)t]]</f>
        <v>136.83334570081007</v>
      </c>
      <c r="G19" s="3">
        <f>G18+Table2[[#This Row],[Dòng tiền thuần tại giai đoạn t
CFt= Ct-  Bt ]]</f>
        <v>650</v>
      </c>
      <c r="H19" s="6">
        <f>H18+Table2[[#This Row],[Giá trị hiện tại: 
PV(CFt)= CFt/(1+r)t]]</f>
        <v>292.54441381787143</v>
      </c>
    </row>
    <row r="21" spans="1:9" x14ac:dyDescent="0.35">
      <c r="A21" s="3" t="s">
        <v>18</v>
      </c>
    </row>
    <row r="22" spans="1:9" ht="53.5" x14ac:dyDescent="0.35">
      <c r="A22" s="1" t="s">
        <v>19</v>
      </c>
      <c r="B22" s="1" t="s">
        <v>13</v>
      </c>
      <c r="C22" s="3" t="s">
        <v>14</v>
      </c>
      <c r="D22" s="1" t="s">
        <v>15</v>
      </c>
      <c r="E22" s="1" t="s">
        <v>27</v>
      </c>
      <c r="F22" s="1" t="s">
        <v>26</v>
      </c>
      <c r="G22" s="1" t="s">
        <v>20</v>
      </c>
      <c r="H22" s="1" t="s">
        <v>16</v>
      </c>
      <c r="I22" s="3" t="s">
        <v>17</v>
      </c>
    </row>
    <row r="23" spans="1:9" ht="17.5" x14ac:dyDescent="0.35">
      <c r="A23" s="7" t="s">
        <v>1</v>
      </c>
      <c r="B23" s="7">
        <f>SUMPRODUCT(Table1[Lợi nhuận
(Lợi ích Bt)],Table1[Hệ số chiết khấu ​tại năm t
1/ (1+r)t])</f>
        <v>971.53561581217832</v>
      </c>
      <c r="C23" s="7">
        <f>SUMPRODUCT(Table1[Đầu tư
(Chi phí Ct)],Table1[Hệ số chiết khấu ​tại năm t
1/ (1+r)t])</f>
        <v>573.05135510263722</v>
      </c>
      <c r="D23" s="7">
        <f>Table3[[#This Row],[PV(B)= ∑tt=0  Bt/(1+r)t
]]-Table3[[#This Row],[PV(C)= ∑tt=0  Ct/(1+r)t]]</f>
        <v>398.4842607095411</v>
      </c>
      <c r="E23" s="8">
        <f>Table3[[#This Row],[a) Giá trị hiện tại thuần
NPV= PV(B)-PV(C)]]/Table3[[#This Row],[PV(C)= ∑tt=0  Ct/(1+r)t]]</f>
        <v>0.6953726872143422</v>
      </c>
      <c r="F23" s="8">
        <f>Table3[[#This Row],[PV(B)= ∑tt=0  Bt/(1+r)t
]]/Table3[[#This Row],[PV(C)= ∑tt=0  Ct/(1+r)t]]</f>
        <v>1.6953726872143422</v>
      </c>
      <c r="G23" s="14">
        <f>IRR($D$5:$D$10)</f>
        <v>0.49560752554497189</v>
      </c>
      <c r="H23" s="7" cm="1">
        <f t="array" ref="H23">_xlfn.LET(_xlpm.c,$G$5:$G$10,
     _xlpm.pos,MATCH(TRUE,_xlpm.c&gt;=0,0),
     _xlpm.a,INDEX($A$5:$A$10,_xlpm.pos-1),
     _xlpm.b,-INDEX($G$5:$G$10,_xlpm.pos-1),
     _xlpm.cflow,INDEX($D$5:$D$10,_xlpm.pos),
     IFERROR(_xlpm.a + _xlpm.b/_xlpm.cflow,"Chưa hoàn vốn"))</f>
        <v>2</v>
      </c>
      <c r="I23" s="7" cm="1">
        <f t="array" ref="I23">_xlfn.LET(_xlpm.c,$H$5:$H$10,
     _xlpm.pos,MATCH(TRUE,_xlpm.c&gt;=0,0),
     _xlpm.a,INDEX($A$5:$A$10,_xlpm.pos-1),
     _xlpm.b,-INDEX($H$5:$H$10,_xlpm.pos-1),
     _xlpm.cflow,INDEX($F$5:$F$10,_xlpm.pos),
     IFERROR(_xlpm.a + _xlpm.b/_xlpm.cflow,"Chưa hoàn vốn"))</f>
        <v>2.3690699999999998</v>
      </c>
    </row>
    <row r="25" spans="1:9" ht="52.5" x14ac:dyDescent="0.35">
      <c r="A25" s="10" t="s">
        <v>19</v>
      </c>
      <c r="B25" s="10" t="s">
        <v>21</v>
      </c>
      <c r="C25" s="11" t="s">
        <v>22</v>
      </c>
      <c r="D25" s="12" t="s">
        <v>15</v>
      </c>
      <c r="E25" s="12" t="s">
        <v>25</v>
      </c>
      <c r="F25" s="10" t="s">
        <v>24</v>
      </c>
      <c r="G25" s="10" t="s">
        <v>23</v>
      </c>
      <c r="H25" s="10" t="s">
        <v>16</v>
      </c>
      <c r="I25" s="11" t="s">
        <v>17</v>
      </c>
    </row>
    <row r="26" spans="1:9" ht="17.5" x14ac:dyDescent="0.35">
      <c r="A26" s="9" t="s">
        <v>2</v>
      </c>
      <c r="B26" s="9">
        <f>SUMPRODUCT(Table2[Lợi nhuận
(Lợi ích Bt)],Table2[Hệ số chiết khấu ​tại năm t
1/ (1+r)t])</f>
        <v>429.07009136919004</v>
      </c>
      <c r="C26" s="9">
        <f>SUMPRODUCT(Table2[Đầu tư
(Chi phí Ct)],Table2[Hệ số chiết khấu ​tại năm t
1/ (1+r)t])</f>
        <v>136.52567755131858</v>
      </c>
      <c r="D26" s="9">
        <f>Table4[[#This Row],[PV(B)= ∑tt=0  Bt/(1+r)t
]]-Table4[[#This Row],[PV(C)= ∑tt=0  Ct/(1+r)t]]</f>
        <v>292.54441381787149</v>
      </c>
      <c r="E26" s="13">
        <f>Table4[[#This Row],[a) Giá trị hiện tại thuần
NPV= PV(B)-PV(C)]]/Table4[[#This Row],[PV(C)= ∑tt=0  Ct/(1+r)t]]</f>
        <v>2.142779432154124</v>
      </c>
      <c r="F26" s="13">
        <f>Table4[[#This Row],[PV(B)= ∑tt=0  Bt/(1+r)t
]]/Table4[[#This Row],[PV(C)= ∑tt=0  Ct/(1+r)t]]</f>
        <v>3.142779432154124</v>
      </c>
      <c r="G26" s="15">
        <f>IRR($D$14:$D$19)</f>
        <v>0.61419858202347166</v>
      </c>
      <c r="H26" s="9" cm="1">
        <f t="array" ref="H26">_xlfn.LET(_xlpm.c,Table2[Lũy kế CF
(Không chiết khấu)
∑t CFt
i=0 ],
     _xlpm.pos,MATCH(TRUE,_xlpm.c&gt;=0,0),
     _xlpm.a,INDEX($A$14:$A$19,_xlpm.pos-1),
     _xlpm.b,-INDEX(Table2[Lũy kế CF
(Không chiết khấu)
∑t CFt
i=0 ],_xlpm.pos-1),
     _xlpm.cflow,INDEX($D$14:$D$19,_xlpm.pos),
     IFERROR(_xlpm.a + _xlpm.b/_xlpm.cflow,"Chưa hoàn vốn"))</f>
        <v>2.25</v>
      </c>
      <c r="I26" s="9" cm="1">
        <f t="array" ref="I26">_xlfn.LET(_xlpm.c,$H$14:$H$19,
     _xlpm.pos,MATCH(TRUE,_xlpm.c&gt;=0,0),
     _xlpm.a,INDEX($A$14:$A$19,_xlpm.pos-1),
     _xlpm.b,-INDEX($H$14:$H$19,_xlpm.pos-1),
     _xlpm.cflow,INDEX($F$14:$F$19,_xlpm.pos),
     IFERROR(_xlpm.a + _xlpm.b/_xlpm.cflow,"Chưa hoàn vốn"))</f>
        <v>2.6077564999999998</v>
      </c>
    </row>
    <row r="27" spans="1:9" x14ac:dyDescent="0.35">
      <c r="A27" s="1"/>
      <c r="C27" s="1"/>
      <c r="D27" s="1"/>
      <c r="F27" s="1"/>
    </row>
    <row r="28" spans="1:9" ht="17.5" x14ac:dyDescent="0.35">
      <c r="A28" s="7"/>
      <c r="B28" s="7"/>
      <c r="C28" s="7"/>
      <c r="D28" s="7"/>
      <c r="E28" s="7"/>
      <c r="F28" s="7"/>
      <c r="G28" s="7"/>
    </row>
  </sheetData>
  <pageMargins left="0.7" right="0.7" top="0.75" bottom="0.75" header="0.3" footer="0.3"/>
  <pageSetup orientation="portrait" r:id="rId1"/>
  <ignoredErrors>
    <ignoredError sqref="G15:G19 H15:H19 G6:G10 H6:H10" calculatedColumn="1"/>
  </ignoredError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Bai9</vt:lpstr>
      <vt:lpstr>Bai8</vt:lpstr>
      <vt:lpstr>Bai7</vt:lpstr>
      <vt:lpstr>Bai6</vt:lpstr>
      <vt:lpstr>Bai5</vt:lpstr>
      <vt:lpstr>Bai4</vt:lpstr>
      <vt:lpstr>Bai3</vt:lpstr>
      <vt:lpstr>Bai2</vt:lpstr>
      <vt:lpstr>Bai1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Yến</dc:creator>
  <cp:lastModifiedBy>Nhi Yến</cp:lastModifiedBy>
  <dcterms:created xsi:type="dcterms:W3CDTF">2025-09-18T16:05:43Z</dcterms:created>
  <dcterms:modified xsi:type="dcterms:W3CDTF">2025-09-20T10:41:08Z</dcterms:modified>
</cp:coreProperties>
</file>