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otnii/Documents/__mipt/term2/labs/lab_226/data/"/>
    </mc:Choice>
  </mc:AlternateContent>
  <xr:revisionPtr revIDLastSave="0" documentId="13_ncr:1_{C97890BE-D078-9346-89D5-B031B284D0D6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I4" i="3" l="1"/>
  <c r="AI5" i="3"/>
  <c r="AI6" i="3"/>
  <c r="AI7" i="3"/>
  <c r="AI8" i="3"/>
  <c r="AI9" i="3"/>
  <c r="AI10" i="3"/>
  <c r="AI3" i="3"/>
  <c r="AH4" i="3"/>
  <c r="AH5" i="3"/>
  <c r="AH6" i="3"/>
  <c r="AH7" i="3"/>
  <c r="AH8" i="3"/>
  <c r="AH9" i="3"/>
  <c r="AH10" i="3"/>
  <c r="AH3" i="3"/>
  <c r="S13" i="2"/>
  <c r="AG4" i="3"/>
  <c r="AG5" i="3"/>
  <c r="AG6" i="3"/>
  <c r="AG7" i="3"/>
  <c r="AG8" i="3"/>
  <c r="AG9" i="3"/>
  <c r="AG10" i="3"/>
  <c r="AG3" i="3"/>
  <c r="AD3" i="3"/>
  <c r="AF4" i="3"/>
  <c r="AF5" i="3"/>
  <c r="AF6" i="3"/>
  <c r="AF7" i="3"/>
  <c r="AF8" i="3"/>
  <c r="AF9" i="3"/>
  <c r="AF10" i="3"/>
  <c r="AF3" i="3"/>
  <c r="AE4" i="3"/>
  <c r="AE5" i="3"/>
  <c r="AE6" i="3"/>
  <c r="AE7" i="3"/>
  <c r="AE8" i="3"/>
  <c r="AE9" i="3"/>
  <c r="AE10" i="3"/>
  <c r="AE3" i="3"/>
  <c r="AD4" i="3"/>
  <c r="AD5" i="3"/>
  <c r="AD6" i="3"/>
  <c r="AD7" i="3"/>
  <c r="AD8" i="3"/>
  <c r="AD9" i="3"/>
  <c r="AD10" i="3"/>
  <c r="W3" i="4"/>
  <c r="Z4" i="3"/>
  <c r="Z5" i="3"/>
  <c r="Z6" i="3"/>
  <c r="Z7" i="3"/>
  <c r="Z8" i="3"/>
  <c r="Z9" i="3"/>
  <c r="Z10" i="3"/>
  <c r="Z3" i="3"/>
  <c r="AC4" i="3"/>
  <c r="AC5" i="3"/>
  <c r="AC6" i="3"/>
  <c r="AC7" i="3"/>
  <c r="AC8" i="3"/>
  <c r="AC9" i="3"/>
  <c r="AC10" i="3"/>
  <c r="AC3" i="3"/>
  <c r="AB10" i="3"/>
  <c r="AB9" i="3"/>
  <c r="AB8" i="3"/>
  <c r="AB7" i="3"/>
  <c r="AB6" i="3"/>
  <c r="AB5" i="3"/>
  <c r="AB4" i="3"/>
  <c r="AB3" i="3"/>
  <c r="AA10" i="3"/>
  <c r="AA9" i="3"/>
  <c r="AA8" i="3"/>
  <c r="AA7" i="3"/>
  <c r="AA6" i="3"/>
  <c r="AA5" i="3"/>
  <c r="AA4" i="3"/>
  <c r="AA3" i="3"/>
  <c r="Y10" i="3"/>
  <c r="Y9" i="3"/>
  <c r="Y8" i="3"/>
  <c r="Y7" i="3"/>
  <c r="Y6" i="3"/>
  <c r="Y5" i="3"/>
  <c r="Y4" i="3"/>
  <c r="Y3" i="3"/>
  <c r="X9" i="3"/>
  <c r="X10" i="3"/>
  <c r="X8" i="3"/>
  <c r="X6" i="3"/>
  <c r="X7" i="3"/>
  <c r="X5" i="3"/>
  <c r="X4" i="3"/>
  <c r="X3" i="3"/>
  <c r="U3" i="3"/>
  <c r="T3" i="4"/>
  <c r="J38" i="4"/>
  <c r="J37" i="4"/>
  <c r="J36" i="4"/>
  <c r="J35" i="4"/>
  <c r="U18" i="4"/>
  <c r="T18" i="4"/>
  <c r="U17" i="4"/>
  <c r="T17" i="4"/>
  <c r="S17" i="4"/>
  <c r="K17" i="4"/>
  <c r="B17" i="4"/>
  <c r="A17" i="4"/>
  <c r="U16" i="4"/>
  <c r="T16" i="4"/>
  <c r="L16" i="4"/>
  <c r="U15" i="4"/>
  <c r="T15" i="4"/>
  <c r="S15" i="4"/>
  <c r="L15" i="4"/>
  <c r="K15" i="4"/>
  <c r="B15" i="4"/>
  <c r="A15" i="4"/>
  <c r="U14" i="4"/>
  <c r="T14" i="4"/>
  <c r="L14" i="4"/>
  <c r="U13" i="4"/>
  <c r="T13" i="4"/>
  <c r="S13" i="4"/>
  <c r="L13" i="4"/>
  <c r="K13" i="4"/>
  <c r="B13" i="4"/>
  <c r="A13" i="4"/>
  <c r="U12" i="4"/>
  <c r="T12" i="4"/>
  <c r="L12" i="4"/>
  <c r="U11" i="4"/>
  <c r="T11" i="4"/>
  <c r="S11" i="4"/>
  <c r="L11" i="4"/>
  <c r="K11" i="4"/>
  <c r="B11" i="4"/>
  <c r="A11" i="4"/>
  <c r="U10" i="4"/>
  <c r="T10" i="4"/>
  <c r="L10" i="4"/>
  <c r="U9" i="4"/>
  <c r="T9" i="4"/>
  <c r="S9" i="4"/>
  <c r="L9" i="4"/>
  <c r="K9" i="4"/>
  <c r="B9" i="4"/>
  <c r="A9" i="4"/>
  <c r="U8" i="4"/>
  <c r="T8" i="4"/>
  <c r="L8" i="4"/>
  <c r="U7" i="4"/>
  <c r="T7" i="4"/>
  <c r="S7" i="4"/>
  <c r="L7" i="4"/>
  <c r="K7" i="4"/>
  <c r="B7" i="4"/>
  <c r="A7" i="4"/>
  <c r="U6" i="4"/>
  <c r="T6" i="4"/>
  <c r="L6" i="4"/>
  <c r="U5" i="4"/>
  <c r="T5" i="4"/>
  <c r="S5" i="4"/>
  <c r="L5" i="4"/>
  <c r="K5" i="4"/>
  <c r="B5" i="4"/>
  <c r="A5" i="4"/>
  <c r="U4" i="4"/>
  <c r="T4" i="4"/>
  <c r="L4" i="4"/>
  <c r="U3" i="4"/>
  <c r="S3" i="4"/>
  <c r="L3" i="4"/>
  <c r="K3" i="4"/>
  <c r="B3" i="4"/>
  <c r="A3" i="4"/>
  <c r="V10" i="3"/>
  <c r="U10" i="3"/>
  <c r="W10" i="3" s="1"/>
  <c r="T10" i="3"/>
  <c r="S10" i="3"/>
  <c r="R10" i="3"/>
  <c r="Q10" i="3"/>
  <c r="P10" i="3"/>
  <c r="O10" i="3"/>
  <c r="M10" i="3"/>
  <c r="L10" i="3"/>
  <c r="N10" i="3" s="1"/>
  <c r="B10" i="3"/>
  <c r="A10" i="3"/>
  <c r="V9" i="3"/>
  <c r="U9" i="3"/>
  <c r="W9" i="3" s="1"/>
  <c r="S9" i="3"/>
  <c r="R9" i="3"/>
  <c r="T9" i="3" s="1"/>
  <c r="P9" i="3"/>
  <c r="O9" i="3"/>
  <c r="Q9" i="3" s="1"/>
  <c r="M9" i="3"/>
  <c r="L9" i="3"/>
  <c r="N9" i="3" s="1"/>
  <c r="B9" i="3"/>
  <c r="A9" i="3"/>
  <c r="V8" i="3"/>
  <c r="U8" i="3"/>
  <c r="W8" i="3" s="1"/>
  <c r="T8" i="3"/>
  <c r="S8" i="3"/>
  <c r="R8" i="3"/>
  <c r="Q8" i="3"/>
  <c r="P8" i="3"/>
  <c r="O8" i="3"/>
  <c r="M8" i="3"/>
  <c r="L8" i="3"/>
  <c r="N8" i="3" s="1"/>
  <c r="B8" i="3"/>
  <c r="A8" i="3"/>
  <c r="V7" i="3"/>
  <c r="U7" i="3"/>
  <c r="W7" i="3" s="1"/>
  <c r="S7" i="3"/>
  <c r="R7" i="3"/>
  <c r="T7" i="3" s="1"/>
  <c r="P7" i="3"/>
  <c r="O7" i="3"/>
  <c r="Q7" i="3" s="1"/>
  <c r="M7" i="3"/>
  <c r="L7" i="3"/>
  <c r="N7" i="3" s="1"/>
  <c r="B7" i="3"/>
  <c r="A7" i="3"/>
  <c r="V6" i="3"/>
  <c r="U6" i="3"/>
  <c r="W6" i="3" s="1"/>
  <c r="T6" i="3"/>
  <c r="S6" i="3"/>
  <c r="R6" i="3"/>
  <c r="Q6" i="3"/>
  <c r="P6" i="3"/>
  <c r="O6" i="3"/>
  <c r="M6" i="3"/>
  <c r="L6" i="3"/>
  <c r="N6" i="3" s="1"/>
  <c r="B6" i="3"/>
  <c r="A6" i="3"/>
  <c r="V5" i="3"/>
  <c r="U5" i="3"/>
  <c r="W5" i="3" s="1"/>
  <c r="S5" i="3"/>
  <c r="R5" i="3"/>
  <c r="T5" i="3" s="1"/>
  <c r="P5" i="3"/>
  <c r="O5" i="3"/>
  <c r="Q5" i="3" s="1"/>
  <c r="M5" i="3"/>
  <c r="L5" i="3"/>
  <c r="N5" i="3" s="1"/>
  <c r="B5" i="3"/>
  <c r="A5" i="3"/>
  <c r="V4" i="3"/>
  <c r="U4" i="3"/>
  <c r="W4" i="3" s="1"/>
  <c r="T4" i="3"/>
  <c r="S4" i="3"/>
  <c r="R4" i="3"/>
  <c r="Q4" i="3"/>
  <c r="P4" i="3"/>
  <c r="O4" i="3"/>
  <c r="M4" i="3"/>
  <c r="L4" i="3"/>
  <c r="N4" i="3" s="1"/>
  <c r="B4" i="3"/>
  <c r="A4" i="3"/>
  <c r="V3" i="3"/>
  <c r="W3" i="3"/>
  <c r="S3" i="3"/>
  <c r="R3" i="3"/>
  <c r="T3" i="3" s="1"/>
  <c r="P3" i="3"/>
  <c r="O3" i="3"/>
  <c r="Q3" i="3" s="1"/>
  <c r="M3" i="3"/>
  <c r="L3" i="3"/>
  <c r="N3" i="3" s="1"/>
  <c r="B3" i="3"/>
  <c r="A3" i="3"/>
  <c r="I32" i="2"/>
  <c r="D32" i="2"/>
  <c r="I31" i="2"/>
  <c r="D31" i="2"/>
  <c r="I30" i="2"/>
  <c r="E30" i="2"/>
  <c r="D30" i="2"/>
  <c r="I29" i="2"/>
  <c r="E29" i="2"/>
  <c r="D29" i="2"/>
  <c r="I28" i="2"/>
  <c r="E28" i="2"/>
  <c r="D28" i="2"/>
  <c r="I27" i="2"/>
  <c r="E27" i="2"/>
  <c r="D27" i="2"/>
  <c r="AD26" i="2"/>
  <c r="AE26" i="2" s="1"/>
  <c r="X26" i="2"/>
  <c r="Y26" i="2" s="1"/>
  <c r="I26" i="2"/>
  <c r="E26" i="2"/>
  <c r="D26" i="2"/>
  <c r="AE25" i="2"/>
  <c r="AD25" i="2"/>
  <c r="Y25" i="2"/>
  <c r="X25" i="2"/>
  <c r="I25" i="2"/>
  <c r="E25" i="2"/>
  <c r="D25" i="2"/>
  <c r="AD24" i="2"/>
  <c r="AE24" i="2" s="1"/>
  <c r="Z24" i="2"/>
  <c r="Y24" i="2"/>
  <c r="X24" i="2"/>
  <c r="I24" i="2"/>
  <c r="D24" i="2"/>
  <c r="AE23" i="2"/>
  <c r="AD23" i="2"/>
  <c r="Z23" i="2"/>
  <c r="X23" i="2"/>
  <c r="Y23" i="2" s="1"/>
  <c r="I23" i="2"/>
  <c r="D23" i="2"/>
  <c r="AE22" i="2"/>
  <c r="AD22" i="2"/>
  <c r="Z22" i="2"/>
  <c r="Y22" i="2"/>
  <c r="X22" i="2"/>
  <c r="I22" i="2"/>
  <c r="D22" i="2"/>
  <c r="AD21" i="2"/>
  <c r="AE21" i="2" s="1"/>
  <c r="Z21" i="2"/>
  <c r="X21" i="2"/>
  <c r="Y21" i="2" s="1"/>
  <c r="I21" i="2"/>
  <c r="D21" i="2"/>
  <c r="AD20" i="2"/>
  <c r="AE20" i="2" s="1"/>
  <c r="Z20" i="2"/>
  <c r="Y20" i="2"/>
  <c r="X20" i="2"/>
  <c r="I20" i="2"/>
  <c r="D20" i="2"/>
  <c r="AE19" i="2"/>
  <c r="AD19" i="2"/>
  <c r="Z19" i="2"/>
  <c r="Y19" i="2"/>
  <c r="X19" i="2"/>
  <c r="I19" i="2"/>
  <c r="D19" i="2"/>
  <c r="AD18" i="2"/>
  <c r="AE18" i="2" s="1"/>
  <c r="X18" i="2"/>
  <c r="Y18" i="2" s="1"/>
  <c r="I18" i="2"/>
  <c r="D18" i="2"/>
  <c r="AD17" i="2"/>
  <c r="AE17" i="2" s="1"/>
  <c r="X17" i="2"/>
  <c r="Y17" i="2" s="1"/>
  <c r="I17" i="2"/>
  <c r="C17" i="2"/>
  <c r="D17" i="2" s="1"/>
  <c r="B17" i="2"/>
  <c r="AD16" i="2"/>
  <c r="AE16" i="2" s="1"/>
  <c r="X16" i="2"/>
  <c r="Y16" i="2" s="1"/>
  <c r="AD15" i="2"/>
  <c r="AE15" i="2" s="1"/>
  <c r="Y15" i="2"/>
  <c r="X15" i="2"/>
  <c r="AD14" i="2"/>
  <c r="AE14" i="2" s="1"/>
  <c r="X14" i="2"/>
  <c r="Y14" i="2" s="1"/>
  <c r="AD13" i="2"/>
  <c r="AE13" i="2" s="1"/>
  <c r="Y13" i="2"/>
  <c r="X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D12" i="2"/>
  <c r="AE12" i="2" s="1"/>
  <c r="X12" i="2"/>
  <c r="Y12" i="2" s="1"/>
  <c r="AD11" i="2"/>
  <c r="AE11" i="2" s="1"/>
  <c r="W11" i="2"/>
  <c r="V11" i="2"/>
  <c r="X11" i="2" s="1"/>
  <c r="Y11" i="2" s="1"/>
  <c r="P9" i="2"/>
  <c r="O9" i="2"/>
  <c r="N9" i="2"/>
  <c r="M9" i="2"/>
  <c r="L9" i="2"/>
  <c r="K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7" i="2"/>
  <c r="C6" i="2"/>
  <c r="C8" i="2" s="1"/>
</calcChain>
</file>

<file path=xl/sharedStrings.xml><?xml version="1.0" encoding="utf-8"?>
<sst xmlns="http://schemas.openxmlformats.org/spreadsheetml/2006/main" count="99" uniqueCount="48">
  <si>
    <t>пренос импульса</t>
  </si>
  <si>
    <t>формула ньютона</t>
  </si>
  <si>
    <t>ньютоновская жидкость — вязкость ~ v в первой</t>
  </si>
  <si>
    <t>v=l/t</t>
  </si>
  <si>
    <t>стекло rho = 2,5</t>
  </si>
  <si>
    <t>сталь rho = 7,8 г/см^3</t>
  </si>
  <si>
    <t>t ком = 24,2</t>
  </si>
  <si>
    <t>До 60 с шагом 5, по 2 стеклянных и 2 железных</t>
  </si>
  <si>
    <t>eta считаем по отдельности, графики тоже (для стекла и стали)</t>
  </si>
  <si>
    <t>крышку закрыть, т. к. пары воды з воздуха РЕЗКО портят вязкость</t>
  </si>
  <si>
    <t>2R=2,5 см</t>
  </si>
  <si>
    <t>Посмотреть 2 2 5, какие ещё 2 метода измерения вязкости</t>
  </si>
  <si>
    <t>l_up=100мм</t>
  </si>
  <si>
    <t>l_down=100 мм</t>
  </si>
  <si>
    <t>ожидаемая T</t>
  </si>
  <si>
    <t>диаметры шариков, мм</t>
  </si>
  <si>
    <t>первая цифра — номер захода, вторв</t>
  </si>
  <si>
    <t>стекло</t>
  </si>
  <si>
    <t>средний</t>
  </si>
  <si>
    <t>сталь</t>
  </si>
  <si>
    <t>0,65?</t>
  </si>
  <si>
    <t>d1, мм</t>
  </si>
  <si>
    <t>d2, мм</t>
  </si>
  <si>
    <t>cтекло</t>
  </si>
  <si>
    <t>cталь</t>
  </si>
  <si>
    <t>1000/T, 1/K</t>
  </si>
  <si>
    <t>rho_ж, г/см^3</t>
  </si>
  <si>
    <t>T, \deg C</t>
  </si>
  <si>
    <t>t1, c</t>
  </si>
  <si>
    <t>t2, c</t>
  </si>
  <si>
    <t>v1, мм/с</t>
  </si>
  <si>
    <t>v2, мм/с</t>
  </si>
  <si>
    <t>vср, мм.с</t>
  </si>
  <si>
    <t>eta1</t>
  </si>
  <si>
    <t>eta2</t>
  </si>
  <si>
    <t>ln(eta)</t>
  </si>
  <si>
    <t>шарик</t>
  </si>
  <si>
    <t>eta</t>
  </si>
  <si>
    <t>$\rho_\text{ж}$, г/см^3</t>
  </si>
  <si>
    <t>1/T, \, 10^{-3} \, 1/K</t>
  </si>
  <si>
    <t>v1, cм/с</t>
  </si>
  <si>
    <t>v2, cм/с</t>
  </si>
  <si>
    <t>vср, cм/с</t>
  </si>
  <si>
    <t xml:space="preserve">eta2 </t>
  </si>
  <si>
    <t>Re</t>
  </si>
  <si>
    <t>tau, c</t>
  </si>
  <si>
    <t>Re, 1</t>
  </si>
  <si>
    <t>S,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</si>
</sst>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2" x14ac:knownFonts="1"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18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0" fillId="0" borderId="0" xfId="0" applyNumberFormat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164" fontId="0" fillId="0" borderId="5" xfId="0" applyNumberFormat="1" applyBorder="1"/>
    <xf numFmtId="164" fontId="0" fillId="0" borderId="7" xfId="0" applyNumberFormat="1" applyBorder="1"/>
    <xf numFmtId="165" fontId="0" fillId="0" borderId="0" xfId="0" applyNumberFormat="1"/>
    <xf numFmtId="165" fontId="0" fillId="0" borderId="5" xfId="0" applyNumberFormat="1" applyBorder="1"/>
    <xf numFmtId="0" fontId="0" fillId="0" borderId="0" xfId="0" applyFill="1" applyBorder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87189591543129E-2"/>
          <c:y val="6.9927737632017803E-2"/>
          <c:w val="0.71164070807531099"/>
          <c:h val="0.86581434130072299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xVal>
            <c:numRef>
              <c:f>Лист3!$A$3:$A$10</c:f>
              <c:numCache>
                <c:formatCode>#,##0.000</c:formatCode>
                <c:ptCount val="8"/>
                <c:pt idx="0">
                  <c:v>3.3555920942250261</c:v>
                </c:pt>
                <c:pt idx="1">
                  <c:v>3.2986970146792021</c:v>
                </c:pt>
                <c:pt idx="2">
                  <c:v>3.2472804026627702</c:v>
                </c:pt>
                <c:pt idx="3">
                  <c:v>3.1958071010833788</c:v>
                </c:pt>
                <c:pt idx="4">
                  <c:v>3.1456432840515887</c:v>
                </c:pt>
                <c:pt idx="5">
                  <c:v>3.0947296753628573</c:v>
                </c:pt>
                <c:pt idx="6">
                  <c:v>3.045994517209869</c:v>
                </c:pt>
                <c:pt idx="7">
                  <c:v>2.9978715112270287</c:v>
                </c:pt>
              </c:numCache>
            </c:numRef>
          </c:xVal>
          <c:yVal>
            <c:numRef>
              <c:f>Лист3!$Z$3:$Z$10</c:f>
              <c:numCache>
                <c:formatCode>General</c:formatCode>
                <c:ptCount val="8"/>
                <c:pt idx="0">
                  <c:v>-0.48417896704726221</c:v>
                </c:pt>
                <c:pt idx="1">
                  <c:v>-0.7910801076174101</c:v>
                </c:pt>
                <c:pt idx="2">
                  <c:v>-1.174595283173919</c:v>
                </c:pt>
                <c:pt idx="3">
                  <c:v>-1.4642946883965646</c:v>
                </c:pt>
                <c:pt idx="4">
                  <c:v>-1.8750878439444709</c:v>
                </c:pt>
                <c:pt idx="5">
                  <c:v>-2.0702078839681435</c:v>
                </c:pt>
                <c:pt idx="6">
                  <c:v>-2.3745593944603596</c:v>
                </c:pt>
                <c:pt idx="7">
                  <c:v>-2.6229920162335465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стекло</c15:sqref>
                        </c15:formulaRef>
                      </c:ext>
                    </c:extLst>
                    <c:strCache>
                      <c:ptCount val="1"/>
                      <c:pt idx="0">
                        <c:v>стекло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2B-0145-9295-CF837B0FD79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Лист3!$A$3:$A$10</c:f>
              <c:numCache>
                <c:formatCode>#,##0.000</c:formatCode>
                <c:ptCount val="8"/>
                <c:pt idx="0">
                  <c:v>3.3555920942250261</c:v>
                </c:pt>
                <c:pt idx="1">
                  <c:v>3.2986970146792021</c:v>
                </c:pt>
                <c:pt idx="2">
                  <c:v>3.2472804026627702</c:v>
                </c:pt>
                <c:pt idx="3">
                  <c:v>3.1958071010833788</c:v>
                </c:pt>
                <c:pt idx="4">
                  <c:v>3.1456432840515887</c:v>
                </c:pt>
                <c:pt idx="5">
                  <c:v>3.0947296753628573</c:v>
                </c:pt>
                <c:pt idx="6">
                  <c:v>3.045994517209869</c:v>
                </c:pt>
                <c:pt idx="7">
                  <c:v>2.9978715112270287</c:v>
                </c:pt>
              </c:numCache>
            </c:numRef>
          </c:xVal>
          <c:yVal>
            <c:numRef>
              <c:f>Лист3!$AC$3:$AC$10</c:f>
              <c:numCache>
                <c:formatCode>General</c:formatCode>
                <c:ptCount val="8"/>
                <c:pt idx="0">
                  <c:v>-0.41089031570201873</c:v>
                </c:pt>
                <c:pt idx="1">
                  <c:v>-0.73884787243622108</c:v>
                </c:pt>
                <c:pt idx="2">
                  <c:v>-1.2733259875124876</c:v>
                </c:pt>
                <c:pt idx="3">
                  <c:v>-1.7794584015576358</c:v>
                </c:pt>
                <c:pt idx="4">
                  <c:v>-1.81738355631973</c:v>
                </c:pt>
                <c:pt idx="5">
                  <c:v>-2.1536357051525656</c:v>
                </c:pt>
                <c:pt idx="6">
                  <c:v>-2.4401920054234454</c:v>
                </c:pt>
                <c:pt idx="7">
                  <c:v>-2.6734367972509996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сталь</c15:sqref>
                        </c15:formulaRef>
                      </c:ext>
                    </c:extLst>
                    <c:strCache>
                      <c:ptCount val="1"/>
                      <c:pt idx="0">
                        <c:v>сталь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2B-0145-9295-CF837B0F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280"/>
        <c:axId val="78161468"/>
      </c:scatterChart>
      <c:valAx>
        <c:axId val="3224280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78161468"/>
        <c:crosses val="autoZero"/>
        <c:crossBetween val="midCat"/>
      </c:valAx>
      <c:valAx>
        <c:axId val="78161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3224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Лист4!$T$3:$T$18</c:f>
                <c:numCache>
                  <c:formatCode>General</c:formatCode>
                  <c:ptCount val="16"/>
                  <c:pt idx="0">
                    <c:v>3.4628743834781224E-3</c:v>
                  </c:pt>
                  <c:pt idx="1">
                    <c:v>3.156012988312766E-3</c:v>
                  </c:pt>
                  <c:pt idx="2">
                    <c:v>4.5247106277366798E-3</c:v>
                  </c:pt>
                  <c:pt idx="3">
                    <c:v>4.3437296051466665E-3</c:v>
                  </c:pt>
                  <c:pt idx="4">
                    <c:v>1.0383548229758024E-2</c:v>
                  </c:pt>
                  <c:pt idx="5">
                    <c:v>5.1893734137604727E-3</c:v>
                  </c:pt>
                  <c:pt idx="6">
                    <c:v>1.2687575408757387E-2</c:v>
                  </c:pt>
                  <c:pt idx="7">
                    <c:v>2.071598752006832E-2</c:v>
                  </c:pt>
                  <c:pt idx="8">
                    <c:v>2.7863605543213172E-2</c:v>
                  </c:pt>
                  <c:pt idx="9">
                    <c:v>1.8233052014232178E-2</c:v>
                  </c:pt>
                  <c:pt idx="10">
                    <c:v>4.1116893431918475E-2</c:v>
                  </c:pt>
                  <c:pt idx="11">
                    <c:v>2.3715295944192472E-2</c:v>
                  </c:pt>
                  <c:pt idx="12">
                    <c:v>6.3146776558083761E-2</c:v>
                  </c:pt>
                  <c:pt idx="13">
                    <c:v>5.937978298403758E-2</c:v>
                  </c:pt>
                  <c:pt idx="14">
                    <c:v>0.10072660444000661</c:v>
                  </c:pt>
                  <c:pt idx="15">
                    <c:v>0.10132360424299268</c:v>
                  </c:pt>
                </c:numCache>
              </c:numRef>
            </c:plus>
            <c:minus>
              <c:numRef>
                <c:f>Лист4!$T$3:$T$18</c:f>
                <c:numCache>
                  <c:formatCode>General</c:formatCode>
                  <c:ptCount val="16"/>
                  <c:pt idx="0">
                    <c:v>3.4628743834781224E-3</c:v>
                  </c:pt>
                  <c:pt idx="1">
                    <c:v>3.156012988312766E-3</c:v>
                  </c:pt>
                  <c:pt idx="2">
                    <c:v>4.5247106277366798E-3</c:v>
                  </c:pt>
                  <c:pt idx="3">
                    <c:v>4.3437296051466665E-3</c:v>
                  </c:pt>
                  <c:pt idx="4">
                    <c:v>1.0383548229758024E-2</c:v>
                  </c:pt>
                  <c:pt idx="5">
                    <c:v>5.1893734137604727E-3</c:v>
                  </c:pt>
                  <c:pt idx="6">
                    <c:v>1.2687575408757387E-2</c:v>
                  </c:pt>
                  <c:pt idx="7">
                    <c:v>2.071598752006832E-2</c:v>
                  </c:pt>
                  <c:pt idx="8">
                    <c:v>2.7863605543213172E-2</c:v>
                  </c:pt>
                  <c:pt idx="9">
                    <c:v>1.8233052014232178E-2</c:v>
                  </c:pt>
                  <c:pt idx="10">
                    <c:v>4.1116893431918475E-2</c:v>
                  </c:pt>
                  <c:pt idx="11">
                    <c:v>2.3715295944192472E-2</c:v>
                  </c:pt>
                  <c:pt idx="12">
                    <c:v>6.3146776558083761E-2</c:v>
                  </c:pt>
                  <c:pt idx="13">
                    <c:v>5.937978298403758E-2</c:v>
                  </c:pt>
                  <c:pt idx="14">
                    <c:v>0.10072660444000661</c:v>
                  </c:pt>
                  <c:pt idx="15">
                    <c:v>0.10132360424299268</c:v>
                  </c:pt>
                </c:numCache>
              </c:numRef>
            </c:minus>
          </c:errBars>
          <c:xVal>
            <c:numRef>
              <c:f>Лист4!$L$3:$L$18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</c:numCache>
            </c:numRef>
          </c:xVal>
          <c:yVal>
            <c:numRef>
              <c:f>Лист4!$O$3:$O$18</c:f>
              <c:numCache>
                <c:formatCode>#,##0.000</c:formatCode>
                <c:ptCount val="16"/>
                <c:pt idx="0">
                  <c:v>0.32894736842105299</c:v>
                </c:pt>
                <c:pt idx="1">
                  <c:v>0.30211480362537801</c:v>
                </c:pt>
                <c:pt idx="2">
                  <c:v>0.41753653444676397</c:v>
                </c:pt>
                <c:pt idx="3">
                  <c:v>0.40290088638194999</c:v>
                </c:pt>
                <c:pt idx="4">
                  <c:v>0.80775444264943497</c:v>
                </c:pt>
                <c:pt idx="5">
                  <c:v>0.469704086425552</c:v>
                </c:pt>
                <c:pt idx="6">
                  <c:v>0.92936802973977695</c:v>
                </c:pt>
                <c:pt idx="7">
                  <c:v>1.2771392081736901</c:v>
                </c:pt>
                <c:pt idx="8">
                  <c:v>1.5267175572519101</c:v>
                </c:pt>
                <c:pt idx="9">
                  <c:v>1.17924528301887</c:v>
                </c:pt>
                <c:pt idx="10">
                  <c:v>1.90839694656489</c:v>
                </c:pt>
                <c:pt idx="11">
                  <c:v>1.3869625520111</c:v>
                </c:pt>
                <c:pt idx="12">
                  <c:v>2.4154589371980699</c:v>
                </c:pt>
                <c:pt idx="13">
                  <c:v>2.3364485981308398</c:v>
                </c:pt>
                <c:pt idx="14">
                  <c:v>3.09597523219814</c:v>
                </c:pt>
                <c:pt idx="15">
                  <c:v>3.1055900621118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C-824D-B5D0-D7651B3FC738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Лист4!$U$3:$U$18</c:f>
                <c:numCache>
                  <c:formatCode>General</c:formatCode>
                  <c:ptCount val="16"/>
                  <c:pt idx="0">
                    <c:v>1.7414996067418444E-3</c:v>
                  </c:pt>
                  <c:pt idx="1">
                    <c:v>1.5834501463197711E-3</c:v>
                  </c:pt>
                  <c:pt idx="2">
                    <c:v>2.2815059133289798E-3</c:v>
                  </c:pt>
                  <c:pt idx="3">
                    <c:v>2.1748608202605273E-3</c:v>
                  </c:pt>
                  <c:pt idx="4">
                    <c:v>5.3545641596391752E-3</c:v>
                  </c:pt>
                  <c:pt idx="5">
                    <c:v>2.6274860113352713E-3</c:v>
                  </c:pt>
                  <c:pt idx="6">
                    <c:v>6.3567550747102826E-3</c:v>
                  </c:pt>
                  <c:pt idx="7">
                    <c:v>1.041181724262669E-2</c:v>
                  </c:pt>
                  <c:pt idx="8">
                    <c:v>1.51568682828301E-2</c:v>
                  </c:pt>
                  <c:pt idx="9">
                    <c:v>9.6070353677149296E-3</c:v>
                  </c:pt>
                  <c:pt idx="10">
                    <c:v>2.0145399209165176E-2</c:v>
                  </c:pt>
                  <c:pt idx="11">
                    <c:v>1.1447945429267303E-2</c:v>
                  </c:pt>
                  <c:pt idx="12">
                    <c:v>3.115382750353142E-2</c:v>
                  </c:pt>
                  <c:pt idx="13">
                    <c:v>2.8393592699386631E-2</c:v>
                  </c:pt>
                  <c:pt idx="14">
                    <c:v>5.1728751514006563E-2</c:v>
                  </c:pt>
                  <c:pt idx="15">
                    <c:v>5.0512205616912768E-2</c:v>
                  </c:pt>
                </c:numCache>
              </c:numRef>
            </c:plus>
            <c:minus>
              <c:numRef>
                <c:f>Лист4!$U$3:$U$18</c:f>
                <c:numCache>
                  <c:formatCode>General</c:formatCode>
                  <c:ptCount val="16"/>
                  <c:pt idx="0">
                    <c:v>1.7414996067418444E-3</c:v>
                  </c:pt>
                  <c:pt idx="1">
                    <c:v>1.5834501463197711E-3</c:v>
                  </c:pt>
                  <c:pt idx="2">
                    <c:v>2.2815059133289798E-3</c:v>
                  </c:pt>
                  <c:pt idx="3">
                    <c:v>2.1748608202605273E-3</c:v>
                  </c:pt>
                  <c:pt idx="4">
                    <c:v>5.3545641596391752E-3</c:v>
                  </c:pt>
                  <c:pt idx="5">
                    <c:v>2.6274860113352713E-3</c:v>
                  </c:pt>
                  <c:pt idx="6">
                    <c:v>6.3567550747102826E-3</c:v>
                  </c:pt>
                  <c:pt idx="7">
                    <c:v>1.041181724262669E-2</c:v>
                  </c:pt>
                  <c:pt idx="8">
                    <c:v>1.51568682828301E-2</c:v>
                  </c:pt>
                  <c:pt idx="9">
                    <c:v>9.6070353677149296E-3</c:v>
                  </c:pt>
                  <c:pt idx="10">
                    <c:v>2.0145399209165176E-2</c:v>
                  </c:pt>
                  <c:pt idx="11">
                    <c:v>1.1447945429267303E-2</c:v>
                  </c:pt>
                  <c:pt idx="12">
                    <c:v>3.115382750353142E-2</c:v>
                  </c:pt>
                  <c:pt idx="13">
                    <c:v>2.8393592699386631E-2</c:v>
                  </c:pt>
                  <c:pt idx="14">
                    <c:v>5.1728751514006563E-2</c:v>
                  </c:pt>
                  <c:pt idx="15">
                    <c:v>5.0512205616912768E-2</c:v>
                  </c:pt>
                </c:numCache>
              </c:numRef>
            </c:minus>
          </c:errBars>
          <c:xVal>
            <c:numRef>
              <c:f>Лист4!$L$3:$L$18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</c:numCache>
            </c:numRef>
          </c:xVal>
          <c:yVal>
            <c:numRef>
              <c:f>Лист4!$P$3:$P$18</c:f>
              <c:numCache>
                <c:formatCode>#,##0.000</c:formatCode>
                <c:ptCount val="16"/>
                <c:pt idx="0">
                  <c:v>0.33068783068783097</c:v>
                </c:pt>
                <c:pt idx="1">
                  <c:v>0.303076223670253</c:v>
                </c:pt>
                <c:pt idx="2">
                  <c:v>0.42060988433228202</c:v>
                </c:pt>
                <c:pt idx="3">
                  <c:v>0.40338846308995602</c:v>
                </c:pt>
                <c:pt idx="4">
                  <c:v>0.82576383154417798</c:v>
                </c:pt>
                <c:pt idx="5">
                  <c:v>0.47472110135295498</c:v>
                </c:pt>
                <c:pt idx="6">
                  <c:v>0.93066542577943201</c:v>
                </c:pt>
                <c:pt idx="7">
                  <c:v>1.2812299807815499</c:v>
                </c:pt>
                <c:pt idx="8">
                  <c:v>1.6038492381716101</c:v>
                </c:pt>
                <c:pt idx="9">
                  <c:v>1.2187690432663001</c:v>
                </c:pt>
                <c:pt idx="10">
                  <c:v>1.88679245283019</c:v>
                </c:pt>
                <c:pt idx="11">
                  <c:v>1.3577732518669401</c:v>
                </c:pt>
                <c:pt idx="12">
                  <c:v>2.3980815347721798</c:v>
                </c:pt>
                <c:pt idx="13">
                  <c:v>2.2805017103762801</c:v>
                </c:pt>
                <c:pt idx="14">
                  <c:v>3.13971742543171</c:v>
                </c:pt>
                <c:pt idx="15">
                  <c:v>3.1007751937984498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C-824D-B5D0-D7651B3F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6800"/>
        <c:axId val="47226343"/>
      </c:scatterChart>
      <c:valAx>
        <c:axId val="2286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7226343"/>
        <c:crosses val="autoZero"/>
        <c:crossBetween val="midCat"/>
      </c:valAx>
      <c:valAx>
        <c:axId val="47226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28668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Лист4!$A$3:$A$17</c:f>
              <c:numCache>
                <c:formatCode>#,##0.000</c:formatCode>
                <c:ptCount val="15"/>
                <c:pt idx="0">
                  <c:v>3.3555920942250261</c:v>
                </c:pt>
                <c:pt idx="2">
                  <c:v>3.2986970146792021</c:v>
                </c:pt>
                <c:pt idx="4">
                  <c:v>3.2472804026627702</c:v>
                </c:pt>
                <c:pt idx="6">
                  <c:v>3.1958071010833788</c:v>
                </c:pt>
                <c:pt idx="8">
                  <c:v>3.1456432840515887</c:v>
                </c:pt>
                <c:pt idx="10">
                  <c:v>3.0947296753628573</c:v>
                </c:pt>
                <c:pt idx="12">
                  <c:v>3.045994517209869</c:v>
                </c:pt>
                <c:pt idx="14">
                  <c:v>2.9978715112270287</c:v>
                </c:pt>
              </c:numCache>
            </c:numRef>
          </c:xVal>
          <c:yVal>
            <c:numRef>
              <c:f>Лист4!$K$3:$K$18</c:f>
              <c:numCache>
                <c:formatCode>General</c:formatCode>
                <c:ptCount val="16"/>
                <c:pt idx="0">
                  <c:v>1.8184061259467834</c:v>
                </c:pt>
                <c:pt idx="2">
                  <c:v>1.5115049853766362</c:v>
                </c:pt>
                <c:pt idx="4">
                  <c:v>1.1279898098201282</c:v>
                </c:pt>
                <c:pt idx="6">
                  <c:v>0.83829040459748128</c:v>
                </c:pt>
                <c:pt idx="8">
                  <c:v>0.42749724904957437</c:v>
                </c:pt>
                <c:pt idx="10">
                  <c:v>0.23237720902590686</c:v>
                </c:pt>
                <c:pt idx="12">
                  <c:v>-7.1974301466313867E-2</c:v>
                </c:pt>
                <c:pt idx="14">
                  <c:v>-0.32040692323949888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7-C44F-A06C-95612F95589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Лист4!$A$3:$A$17</c:f>
              <c:numCache>
                <c:formatCode>#,##0.000</c:formatCode>
                <c:ptCount val="15"/>
                <c:pt idx="0">
                  <c:v>3.3555920942250261</c:v>
                </c:pt>
                <c:pt idx="2">
                  <c:v>3.2986970146792021</c:v>
                </c:pt>
                <c:pt idx="4">
                  <c:v>3.2472804026627702</c:v>
                </c:pt>
                <c:pt idx="6">
                  <c:v>3.1958071010833788</c:v>
                </c:pt>
                <c:pt idx="8">
                  <c:v>3.1456432840515887</c:v>
                </c:pt>
                <c:pt idx="10">
                  <c:v>3.0947296753628573</c:v>
                </c:pt>
                <c:pt idx="12">
                  <c:v>3.045994517209869</c:v>
                </c:pt>
                <c:pt idx="14">
                  <c:v>2.9978715112270287</c:v>
                </c:pt>
              </c:numCache>
            </c:numRef>
          </c:xVal>
          <c:yVal>
            <c:numRef>
              <c:f>Лист4!$S$3:$S$17</c:f>
              <c:numCache>
                <c:formatCode>General</c:formatCode>
                <c:ptCount val="15"/>
                <c:pt idx="0">
                  <c:v>1.8916947772920263</c:v>
                </c:pt>
                <c:pt idx="2">
                  <c:v>1.5637372205578237</c:v>
                </c:pt>
                <c:pt idx="4">
                  <c:v>1.0292591054815541</c:v>
                </c:pt>
                <c:pt idx="6">
                  <c:v>0.52312669143641022</c:v>
                </c:pt>
                <c:pt idx="8">
                  <c:v>0.48520153667431704</c:v>
                </c:pt>
                <c:pt idx="10">
                  <c:v>0.14894938784148426</c:v>
                </c:pt>
                <c:pt idx="12">
                  <c:v>-0.13760691242939954</c:v>
                </c:pt>
                <c:pt idx="14">
                  <c:v>-0.37085170425695341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7-C44F-A06C-95612F95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8934"/>
        <c:axId val="19689900"/>
      </c:scatterChart>
      <c:valAx>
        <c:axId val="44368934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9689900"/>
        <c:crosses val="autoZero"/>
        <c:crossBetween val="midCat"/>
      </c:valAx>
      <c:valAx>
        <c:axId val="19689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44368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ru-RU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374040</xdr:colOff>
      <xdr:row>15</xdr:row>
      <xdr:rowOff>27720</xdr:rowOff>
    </xdr:from>
    <xdr:to>
      <xdr:col>30</xdr:col>
      <xdr:colOff>439200</xdr:colOff>
      <xdr:row>35</xdr:row>
      <xdr:rowOff>14400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676800</xdr:colOff>
      <xdr:row>20</xdr:row>
      <xdr:rowOff>36000</xdr:rowOff>
    </xdr:from>
    <xdr:to>
      <xdr:col>16</xdr:col>
      <xdr:colOff>747000</xdr:colOff>
      <xdr:row>40</xdr:row>
      <xdr:rowOff>24480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367200</xdr:colOff>
      <xdr:row>19</xdr:row>
      <xdr:rowOff>9720</xdr:rowOff>
    </xdr:from>
    <xdr:to>
      <xdr:col>8</xdr:col>
      <xdr:colOff>436320</xdr:colOff>
      <xdr:row>39</xdr:row>
      <xdr:rowOff>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134" zoomScaleNormal="100" zoomScalePageLayoutView="60" workbookViewId="0"/>
  </sheetViews>
  <sheetFormatPr baseColWidth="10" defaultColWidth="8.83203125" defaultRowHeight="13" x14ac:dyDescent="0.15"/>
  <cols>
    <col min="1" max="1025" width="11.5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9" spans="1:1" x14ac:dyDescent="0.15">
      <c r="A9" t="s">
        <v>7</v>
      </c>
    </row>
    <row r="10" spans="1:1" x14ac:dyDescent="0.15">
      <c r="A10" t="s">
        <v>8</v>
      </c>
    </row>
    <row r="11" spans="1:1" x14ac:dyDescent="0.15">
      <c r="A11" t="s">
        <v>9</v>
      </c>
    </row>
    <row r="13" spans="1:1" x14ac:dyDescent="0.15">
      <c r="A13" t="s">
        <v>10</v>
      </c>
    </row>
    <row r="15" spans="1:1" x14ac:dyDescent="0.15">
      <c r="A15" t="s">
        <v>11</v>
      </c>
    </row>
  </sheetData>
  <pageMargins left="0.78749999999999998" right="0.78749999999999998" top="0.78749999999999998" bottom="0.78749999999999998" header="0.51180555555555496" footer="0.51180555555555496"/>
  <pageSetup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2"/>
  <sheetViews>
    <sheetView topLeftCell="I1" zoomScale="179" zoomScaleNormal="179" zoomScalePageLayoutView="60" workbookViewId="0">
      <selection activeCell="S13" sqref="S13"/>
    </sheetView>
  </sheetViews>
  <sheetFormatPr baseColWidth="10" defaultColWidth="8.83203125" defaultRowHeight="13" x14ac:dyDescent="0.15"/>
  <cols>
    <col min="1" max="1025" width="11.5"/>
  </cols>
  <sheetData>
    <row r="1" spans="1:35" x14ac:dyDescent="0.15">
      <c r="A1" t="s">
        <v>12</v>
      </c>
      <c r="B1" t="s">
        <v>13</v>
      </c>
    </row>
    <row r="3" spans="1:35" x14ac:dyDescent="0.15">
      <c r="B3" t="s">
        <v>14</v>
      </c>
      <c r="C3">
        <v>25</v>
      </c>
      <c r="D3">
        <v>25</v>
      </c>
      <c r="E3">
        <v>30</v>
      </c>
      <c r="F3">
        <v>30</v>
      </c>
      <c r="G3">
        <v>35</v>
      </c>
      <c r="H3">
        <v>35</v>
      </c>
      <c r="I3">
        <v>40</v>
      </c>
      <c r="J3">
        <v>40</v>
      </c>
      <c r="K3">
        <v>45</v>
      </c>
      <c r="L3">
        <v>45</v>
      </c>
      <c r="M3">
        <v>50</v>
      </c>
      <c r="N3">
        <v>50</v>
      </c>
      <c r="O3">
        <v>55</v>
      </c>
      <c r="P3">
        <v>55</v>
      </c>
      <c r="Q3">
        <v>60</v>
      </c>
      <c r="R3">
        <v>60</v>
      </c>
    </row>
    <row r="4" spans="1:35" x14ac:dyDescent="0.15">
      <c r="C4" t="s">
        <v>15</v>
      </c>
      <c r="E4" t="s">
        <v>16</v>
      </c>
    </row>
    <row r="5" spans="1:35" x14ac:dyDescent="0.15">
      <c r="B5" t="s">
        <v>17</v>
      </c>
      <c r="C5" s="4">
        <v>11</v>
      </c>
      <c r="D5" s="4">
        <v>12</v>
      </c>
      <c r="E5" s="4">
        <v>13</v>
      </c>
      <c r="F5" s="4">
        <v>14</v>
      </c>
      <c r="G5" s="4">
        <v>21</v>
      </c>
      <c r="H5" s="4">
        <v>22</v>
      </c>
      <c r="I5" s="4">
        <v>23</v>
      </c>
      <c r="J5" s="4">
        <v>24</v>
      </c>
      <c r="K5" s="4">
        <v>31</v>
      </c>
      <c r="L5" s="4">
        <v>32</v>
      </c>
      <c r="M5" s="4">
        <v>33</v>
      </c>
      <c r="N5" s="4">
        <v>34</v>
      </c>
      <c r="O5" s="4">
        <v>41</v>
      </c>
      <c r="P5" s="4">
        <v>42</v>
      </c>
      <c r="Q5" s="4">
        <v>45</v>
      </c>
      <c r="R5" s="4">
        <v>50</v>
      </c>
    </row>
    <row r="6" spans="1:35" x14ac:dyDescent="0.15">
      <c r="B6">
        <v>1</v>
      </c>
      <c r="C6">
        <f>1+0.75+0.3</f>
        <v>2.0499999999999998</v>
      </c>
      <c r="D6">
        <v>2</v>
      </c>
      <c r="E6">
        <v>2.1</v>
      </c>
      <c r="F6">
        <v>2</v>
      </c>
      <c r="G6">
        <v>2.1</v>
      </c>
      <c r="H6">
        <v>2.15</v>
      </c>
      <c r="I6">
        <v>2.1</v>
      </c>
      <c r="J6">
        <v>2.1</v>
      </c>
      <c r="K6">
        <v>2</v>
      </c>
      <c r="L6">
        <v>2.1</v>
      </c>
      <c r="M6">
        <v>2.1</v>
      </c>
      <c r="N6">
        <v>2</v>
      </c>
      <c r="O6">
        <v>2.15</v>
      </c>
      <c r="P6">
        <v>2.1</v>
      </c>
      <c r="Q6">
        <v>2.1</v>
      </c>
      <c r="R6">
        <v>2.1</v>
      </c>
    </row>
    <row r="7" spans="1:35" x14ac:dyDescent="0.15">
      <c r="B7">
        <v>2</v>
      </c>
      <c r="C7">
        <f>0.55+1+0.45</f>
        <v>2</v>
      </c>
      <c r="D7">
        <v>2.1</v>
      </c>
      <c r="E7">
        <v>2.15</v>
      </c>
      <c r="F7">
        <v>2.1</v>
      </c>
      <c r="G7">
        <v>2.1</v>
      </c>
      <c r="H7">
        <v>2.15</v>
      </c>
      <c r="I7">
        <v>2.1</v>
      </c>
      <c r="J7">
        <v>2.15</v>
      </c>
      <c r="K7">
        <v>2</v>
      </c>
      <c r="L7">
        <v>2.0499999999999998</v>
      </c>
      <c r="M7">
        <v>2</v>
      </c>
      <c r="N7">
        <v>2.0499999999999998</v>
      </c>
      <c r="O7">
        <v>2.15</v>
      </c>
      <c r="P7">
        <v>2.1</v>
      </c>
      <c r="Q7">
        <v>2.1</v>
      </c>
      <c r="R7">
        <v>2.15</v>
      </c>
    </row>
    <row r="8" spans="1:35" x14ac:dyDescent="0.15">
      <c r="B8" t="s">
        <v>18</v>
      </c>
      <c r="C8">
        <f t="shared" ref="C8:R8" si="0">AVERAGE(C6:C7)</f>
        <v>2.0249999999999999</v>
      </c>
      <c r="D8">
        <f t="shared" si="0"/>
        <v>2.0499999999999998</v>
      </c>
      <c r="E8">
        <f t="shared" si="0"/>
        <v>2.125</v>
      </c>
      <c r="F8">
        <f t="shared" si="0"/>
        <v>2.0499999999999998</v>
      </c>
      <c r="G8">
        <f t="shared" si="0"/>
        <v>2.1</v>
      </c>
      <c r="H8">
        <f t="shared" si="0"/>
        <v>2.15</v>
      </c>
      <c r="I8">
        <f t="shared" si="0"/>
        <v>2.1</v>
      </c>
      <c r="J8">
        <f t="shared" si="0"/>
        <v>2.125</v>
      </c>
      <c r="K8">
        <f t="shared" si="0"/>
        <v>2</v>
      </c>
      <c r="L8">
        <f t="shared" si="0"/>
        <v>2.0750000000000002</v>
      </c>
      <c r="M8">
        <f t="shared" si="0"/>
        <v>2.0499999999999998</v>
      </c>
      <c r="N8">
        <f t="shared" si="0"/>
        <v>2.0249999999999999</v>
      </c>
      <c r="O8">
        <f t="shared" si="0"/>
        <v>2.15</v>
      </c>
      <c r="P8">
        <f t="shared" si="0"/>
        <v>2.1</v>
      </c>
      <c r="Q8">
        <f t="shared" si="0"/>
        <v>2.1</v>
      </c>
      <c r="R8">
        <f t="shared" si="0"/>
        <v>2.125</v>
      </c>
    </row>
    <row r="9" spans="1:35" x14ac:dyDescent="0.15">
      <c r="B9" s="5" t="s">
        <v>19</v>
      </c>
      <c r="C9" s="6">
        <v>16</v>
      </c>
      <c r="D9" s="6">
        <v>17</v>
      </c>
      <c r="E9" s="6">
        <v>18</v>
      </c>
      <c r="F9" s="6">
        <v>19</v>
      </c>
      <c r="G9" s="6">
        <v>26</v>
      </c>
      <c r="H9" s="6">
        <v>27</v>
      </c>
      <c r="I9" s="6">
        <v>28</v>
      </c>
      <c r="J9" s="6">
        <v>29</v>
      </c>
      <c r="K9" s="6">
        <f t="shared" ref="K9:P9" si="1">K5+5</f>
        <v>36</v>
      </c>
      <c r="L9" s="6">
        <f t="shared" si="1"/>
        <v>37</v>
      </c>
      <c r="M9" s="6">
        <f t="shared" si="1"/>
        <v>38</v>
      </c>
      <c r="N9" s="6">
        <f t="shared" si="1"/>
        <v>39</v>
      </c>
      <c r="O9" s="6">
        <f t="shared" si="1"/>
        <v>46</v>
      </c>
      <c r="P9" s="6">
        <f t="shared" si="1"/>
        <v>47</v>
      </c>
      <c r="Q9" s="6">
        <v>48</v>
      </c>
      <c r="R9" s="6">
        <v>49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15">
      <c r="B10">
        <v>1</v>
      </c>
      <c r="C10">
        <v>0.8</v>
      </c>
      <c r="D10">
        <v>0.75</v>
      </c>
      <c r="E10">
        <v>0.75</v>
      </c>
      <c r="F10">
        <v>0.75</v>
      </c>
      <c r="G10">
        <v>0.75</v>
      </c>
      <c r="H10">
        <v>0.65</v>
      </c>
      <c r="I10">
        <v>0.8</v>
      </c>
      <c r="J10">
        <v>0.65</v>
      </c>
      <c r="K10">
        <v>0.85</v>
      </c>
      <c r="L10">
        <v>0.75</v>
      </c>
      <c r="M10">
        <v>0.8</v>
      </c>
      <c r="N10">
        <v>0.7</v>
      </c>
      <c r="O10">
        <v>0.75</v>
      </c>
      <c r="P10">
        <v>0.8</v>
      </c>
      <c r="Q10">
        <v>0.8</v>
      </c>
      <c r="R10">
        <v>0.8</v>
      </c>
      <c r="S10" t="s">
        <v>20</v>
      </c>
      <c r="U10" t="s">
        <v>17</v>
      </c>
      <c r="V10" t="s">
        <v>21</v>
      </c>
      <c r="W10" t="s">
        <v>22</v>
      </c>
      <c r="X10" t="s">
        <v>18</v>
      </c>
      <c r="Z10" s="7" t="s">
        <v>19</v>
      </c>
      <c r="AA10">
        <v>1</v>
      </c>
      <c r="AB10">
        <v>2</v>
      </c>
      <c r="AC10">
        <v>3</v>
      </c>
      <c r="AD10" t="s">
        <v>18</v>
      </c>
    </row>
    <row r="11" spans="1:35" x14ac:dyDescent="0.15">
      <c r="B11">
        <v>2</v>
      </c>
      <c r="C11">
        <v>0.8</v>
      </c>
      <c r="D11">
        <v>0.75</v>
      </c>
      <c r="E11">
        <v>0.7</v>
      </c>
      <c r="F11">
        <v>0.75</v>
      </c>
      <c r="G11">
        <v>0.75</v>
      </c>
      <c r="H11">
        <v>0.6</v>
      </c>
      <c r="I11">
        <v>0.75</v>
      </c>
      <c r="J11">
        <v>0.6</v>
      </c>
      <c r="K11">
        <v>0.8</v>
      </c>
      <c r="L11">
        <v>0.75</v>
      </c>
      <c r="M11">
        <v>0.75</v>
      </c>
      <c r="N11">
        <v>0.65</v>
      </c>
      <c r="O11">
        <v>0.8</v>
      </c>
      <c r="P11">
        <v>0.7</v>
      </c>
      <c r="Q11">
        <v>0.75</v>
      </c>
      <c r="R11">
        <v>0.8</v>
      </c>
      <c r="U11" s="8">
        <v>11</v>
      </c>
      <c r="V11" s="9">
        <f>1+0.75+0.3</f>
        <v>2.0499999999999998</v>
      </c>
      <c r="W11" s="9">
        <f>0.55+1+0.45</f>
        <v>2</v>
      </c>
      <c r="X11" s="9">
        <f t="shared" ref="X11:X26" si="2">AVERAGE(V11:W11)</f>
        <v>2.0249999999999999</v>
      </c>
      <c r="Y11" s="9">
        <f t="shared" ref="Y11:Y26" si="3">SQRT(0.04^2+((V11-X11)^2+(W11-X11)^2)/2)</f>
        <v>4.7169905660282972E-2</v>
      </c>
      <c r="Z11" s="10">
        <v>16</v>
      </c>
      <c r="AA11" s="9">
        <v>0.8</v>
      </c>
      <c r="AB11" s="9">
        <v>0.8</v>
      </c>
      <c r="AC11" s="9">
        <v>0.75</v>
      </c>
      <c r="AD11" s="9">
        <f t="shared" ref="AD11:AD26" si="4">AVERAGE(AA11:AC11)</f>
        <v>0.78333333333333333</v>
      </c>
      <c r="AE11" s="9">
        <f t="shared" ref="AE11:AE26" si="5">SQRT(0.04^2+((AB11-AD11)^2+(AC11-AD11)^2+(AA11-AD11)^2)/6)</f>
        <v>4.3333333333333342E-2</v>
      </c>
    </row>
    <row r="12" spans="1:35" x14ac:dyDescent="0.15">
      <c r="B12">
        <v>3</v>
      </c>
      <c r="C12">
        <v>0.75</v>
      </c>
      <c r="D12">
        <v>0.75</v>
      </c>
      <c r="E12">
        <v>0.75</v>
      </c>
      <c r="F12">
        <v>0.75</v>
      </c>
      <c r="G12">
        <v>0.8</v>
      </c>
      <c r="H12">
        <v>0.65</v>
      </c>
      <c r="I12">
        <v>0.75</v>
      </c>
      <c r="J12">
        <v>0.65</v>
      </c>
      <c r="K12">
        <v>0.9</v>
      </c>
      <c r="L12">
        <v>0.7</v>
      </c>
      <c r="M12">
        <v>0.75</v>
      </c>
      <c r="N12">
        <v>0.7</v>
      </c>
      <c r="O12">
        <v>0.75</v>
      </c>
      <c r="P12">
        <v>0.75</v>
      </c>
      <c r="Q12">
        <v>0.75</v>
      </c>
      <c r="R12">
        <v>0.75</v>
      </c>
      <c r="U12" s="8">
        <v>12</v>
      </c>
      <c r="V12" s="9">
        <v>2</v>
      </c>
      <c r="W12" s="9">
        <v>2.1</v>
      </c>
      <c r="X12" s="9">
        <f t="shared" si="2"/>
        <v>2.0499999999999998</v>
      </c>
      <c r="Y12" s="9">
        <f t="shared" si="3"/>
        <v>6.4031242374328529E-2</v>
      </c>
      <c r="Z12" s="10">
        <v>17</v>
      </c>
      <c r="AA12" s="9">
        <v>0.75</v>
      </c>
      <c r="AB12" s="9">
        <v>0.75</v>
      </c>
      <c r="AC12" s="9">
        <v>0.75</v>
      </c>
      <c r="AD12" s="9">
        <f t="shared" si="4"/>
        <v>0.75</v>
      </c>
      <c r="AE12" s="9">
        <f t="shared" si="5"/>
        <v>0.04</v>
      </c>
    </row>
    <row r="13" spans="1:35" x14ac:dyDescent="0.15">
      <c r="B13" t="s">
        <v>18</v>
      </c>
      <c r="C13">
        <f t="shared" ref="C13:R13" si="6">AVERAGE(C10:C12)</f>
        <v>0.78333333333333333</v>
      </c>
      <c r="D13">
        <f t="shared" si="6"/>
        <v>0.75</v>
      </c>
      <c r="E13">
        <f t="shared" si="6"/>
        <v>0.73333333333333339</v>
      </c>
      <c r="F13">
        <f t="shared" si="6"/>
        <v>0.75</v>
      </c>
      <c r="G13">
        <f t="shared" si="6"/>
        <v>0.76666666666666661</v>
      </c>
      <c r="H13">
        <f t="shared" si="6"/>
        <v>0.6333333333333333</v>
      </c>
      <c r="I13">
        <f t="shared" si="6"/>
        <v>0.76666666666666661</v>
      </c>
      <c r="J13">
        <f t="shared" si="6"/>
        <v>0.6333333333333333</v>
      </c>
      <c r="K13">
        <f t="shared" si="6"/>
        <v>0.85</v>
      </c>
      <c r="L13">
        <f t="shared" si="6"/>
        <v>0.73333333333333339</v>
      </c>
      <c r="M13">
        <f t="shared" si="6"/>
        <v>0.76666666666666661</v>
      </c>
      <c r="N13">
        <f t="shared" si="6"/>
        <v>0.68333333333333324</v>
      </c>
      <c r="O13">
        <f t="shared" si="6"/>
        <v>0.76666666666666661</v>
      </c>
      <c r="P13">
        <f t="shared" si="6"/>
        <v>0.75</v>
      </c>
      <c r="Q13">
        <f t="shared" si="6"/>
        <v>0.76666666666666661</v>
      </c>
      <c r="R13">
        <f t="shared" si="6"/>
        <v>0.78333333333333333</v>
      </c>
      <c r="S13">
        <f>0.745/2</f>
        <v>0.3725</v>
      </c>
      <c r="U13" s="8">
        <v>13</v>
      </c>
      <c r="V13" s="9">
        <v>2.1</v>
      </c>
      <c r="W13" s="9">
        <v>2.15</v>
      </c>
      <c r="X13" s="9">
        <f t="shared" si="2"/>
        <v>2.125</v>
      </c>
      <c r="Y13" s="9">
        <f t="shared" si="3"/>
        <v>4.7169905660282972E-2</v>
      </c>
      <c r="Z13" s="10">
        <v>18</v>
      </c>
      <c r="AA13" s="9">
        <v>0.75</v>
      </c>
      <c r="AB13" s="9">
        <v>0.7</v>
      </c>
      <c r="AC13" s="9">
        <v>0.75</v>
      </c>
      <c r="AD13" s="9">
        <f t="shared" si="4"/>
        <v>0.73333333333333339</v>
      </c>
      <c r="AE13" s="9">
        <f t="shared" si="5"/>
        <v>4.3333333333333342E-2</v>
      </c>
    </row>
    <row r="14" spans="1:35" x14ac:dyDescent="0.15">
      <c r="U14" s="8">
        <v>14</v>
      </c>
      <c r="V14" s="9">
        <v>2</v>
      </c>
      <c r="W14" s="9">
        <v>2.1</v>
      </c>
      <c r="X14" s="9">
        <f t="shared" si="2"/>
        <v>2.0499999999999998</v>
      </c>
      <c r="Y14" s="9">
        <f t="shared" si="3"/>
        <v>6.4031242374328529E-2</v>
      </c>
      <c r="Z14" s="10">
        <v>19</v>
      </c>
      <c r="AA14" s="9">
        <v>0.75</v>
      </c>
      <c r="AB14" s="9">
        <v>0.75</v>
      </c>
      <c r="AC14" s="9">
        <v>0.75</v>
      </c>
      <c r="AD14" s="9">
        <f t="shared" si="4"/>
        <v>0.75</v>
      </c>
      <c r="AE14" s="9">
        <f t="shared" si="5"/>
        <v>0.04</v>
      </c>
    </row>
    <row r="15" spans="1:35" x14ac:dyDescent="0.15">
      <c r="U15" s="8">
        <v>21</v>
      </c>
      <c r="V15" s="9">
        <v>2.1</v>
      </c>
      <c r="W15" s="9">
        <v>2.1</v>
      </c>
      <c r="X15" s="9">
        <f t="shared" si="2"/>
        <v>2.1</v>
      </c>
      <c r="Y15" s="9">
        <f t="shared" si="3"/>
        <v>0.04</v>
      </c>
      <c r="Z15" s="10">
        <v>26</v>
      </c>
      <c r="AA15" s="9">
        <v>0.75</v>
      </c>
      <c r="AB15" s="9">
        <v>0.75</v>
      </c>
      <c r="AC15" s="9">
        <v>0.8</v>
      </c>
      <c r="AD15" s="9">
        <f t="shared" si="4"/>
        <v>0.76666666666666661</v>
      </c>
      <c r="AE15" s="9">
        <f t="shared" si="5"/>
        <v>4.3333333333333342E-2</v>
      </c>
    </row>
    <row r="16" spans="1:35" x14ac:dyDescent="0.15">
      <c r="A16" t="s">
        <v>17</v>
      </c>
      <c r="B16" t="s">
        <v>21</v>
      </c>
      <c r="C16" t="s">
        <v>22</v>
      </c>
      <c r="D16" t="s">
        <v>18</v>
      </c>
      <c r="E16" s="7" t="s">
        <v>19</v>
      </c>
      <c r="F16">
        <v>1</v>
      </c>
      <c r="G16">
        <v>2</v>
      </c>
      <c r="H16">
        <v>3</v>
      </c>
      <c r="I16" t="s">
        <v>18</v>
      </c>
      <c r="U16" s="8">
        <v>22</v>
      </c>
      <c r="V16" s="9">
        <v>2.15</v>
      </c>
      <c r="W16" s="9">
        <v>2.15</v>
      </c>
      <c r="X16" s="9">
        <f t="shared" si="2"/>
        <v>2.15</v>
      </c>
      <c r="Y16" s="9">
        <f t="shared" si="3"/>
        <v>0.04</v>
      </c>
      <c r="Z16" s="10">
        <v>27</v>
      </c>
      <c r="AA16" s="9">
        <v>0.65</v>
      </c>
      <c r="AB16" s="9">
        <v>0.6</v>
      </c>
      <c r="AC16" s="9">
        <v>0.65</v>
      </c>
      <c r="AD16" s="9">
        <f t="shared" si="4"/>
        <v>0.6333333333333333</v>
      </c>
      <c r="AE16" s="9">
        <f t="shared" si="5"/>
        <v>4.3333333333333342E-2</v>
      </c>
    </row>
    <row r="17" spans="1:31" x14ac:dyDescent="0.15">
      <c r="A17" s="8">
        <v>11</v>
      </c>
      <c r="B17" s="9">
        <f>1+0.75+0.3</f>
        <v>2.0499999999999998</v>
      </c>
      <c r="C17" s="9">
        <f>0.55+1+0.45</f>
        <v>2</v>
      </c>
      <c r="D17" s="9">
        <f t="shared" ref="D17:D32" si="7">AVERAGE(B17:C17)</f>
        <v>2.0249999999999999</v>
      </c>
      <c r="E17" s="10">
        <v>16</v>
      </c>
      <c r="F17" s="9">
        <v>0.8</v>
      </c>
      <c r="G17" s="9">
        <v>0.8</v>
      </c>
      <c r="H17" s="9">
        <v>0.75</v>
      </c>
      <c r="I17">
        <f t="shared" ref="I17:I32" si="8">AVERAGE(F17:H17)</f>
        <v>0.78333333333333333</v>
      </c>
      <c r="U17" s="8">
        <v>23</v>
      </c>
      <c r="V17" s="9">
        <v>2.1</v>
      </c>
      <c r="W17" s="9">
        <v>2.1</v>
      </c>
      <c r="X17" s="9">
        <f t="shared" si="2"/>
        <v>2.1</v>
      </c>
      <c r="Y17" s="9">
        <f t="shared" si="3"/>
        <v>0.04</v>
      </c>
      <c r="Z17" s="10">
        <v>28</v>
      </c>
      <c r="AA17" s="9">
        <v>0.8</v>
      </c>
      <c r="AB17" s="9">
        <v>0.75</v>
      </c>
      <c r="AC17" s="9">
        <v>0.75</v>
      </c>
      <c r="AD17" s="9">
        <f t="shared" si="4"/>
        <v>0.76666666666666661</v>
      </c>
      <c r="AE17" s="9">
        <f t="shared" si="5"/>
        <v>4.3333333333333342E-2</v>
      </c>
    </row>
    <row r="18" spans="1:31" x14ac:dyDescent="0.15">
      <c r="A18" s="8">
        <v>12</v>
      </c>
      <c r="B18" s="9">
        <v>2</v>
      </c>
      <c r="C18" s="9">
        <v>2.1</v>
      </c>
      <c r="D18" s="9">
        <f t="shared" si="7"/>
        <v>2.0499999999999998</v>
      </c>
      <c r="E18" s="10">
        <v>17</v>
      </c>
      <c r="F18" s="9">
        <v>0.75</v>
      </c>
      <c r="G18" s="9">
        <v>0.75</v>
      </c>
      <c r="H18" s="9">
        <v>0.75</v>
      </c>
      <c r="I18">
        <f t="shared" si="8"/>
        <v>0.75</v>
      </c>
      <c r="U18" s="8">
        <v>24</v>
      </c>
      <c r="V18" s="9">
        <v>2.1</v>
      </c>
      <c r="W18" s="9">
        <v>2.15</v>
      </c>
      <c r="X18" s="9">
        <f t="shared" si="2"/>
        <v>2.125</v>
      </c>
      <c r="Y18" s="9">
        <f t="shared" si="3"/>
        <v>4.7169905660282972E-2</v>
      </c>
      <c r="Z18" s="10">
        <v>29</v>
      </c>
      <c r="AA18" s="9">
        <v>0.65</v>
      </c>
      <c r="AB18" s="9">
        <v>0.6</v>
      </c>
      <c r="AC18" s="9">
        <v>0.65</v>
      </c>
      <c r="AD18" s="9">
        <f t="shared" si="4"/>
        <v>0.6333333333333333</v>
      </c>
      <c r="AE18" s="9">
        <f t="shared" si="5"/>
        <v>4.3333333333333342E-2</v>
      </c>
    </row>
    <row r="19" spans="1:31" x14ac:dyDescent="0.15">
      <c r="A19" s="8">
        <v>13</v>
      </c>
      <c r="B19" s="9">
        <v>2.1</v>
      </c>
      <c r="C19" s="9">
        <v>2.15</v>
      </c>
      <c r="D19" s="9">
        <f t="shared" si="7"/>
        <v>2.125</v>
      </c>
      <c r="E19" s="10">
        <v>18</v>
      </c>
      <c r="F19" s="9">
        <v>0.75</v>
      </c>
      <c r="G19" s="9">
        <v>0.7</v>
      </c>
      <c r="H19" s="9">
        <v>0.75</v>
      </c>
      <c r="I19">
        <f t="shared" si="8"/>
        <v>0.73333333333333339</v>
      </c>
      <c r="U19" s="8">
        <v>31</v>
      </c>
      <c r="V19" s="9">
        <v>2</v>
      </c>
      <c r="W19" s="9">
        <v>2</v>
      </c>
      <c r="X19" s="9">
        <f t="shared" si="2"/>
        <v>2</v>
      </c>
      <c r="Y19" s="9">
        <f t="shared" si="3"/>
        <v>0.04</v>
      </c>
      <c r="Z19" s="10">
        <f t="shared" ref="Z19:Z24" si="9">U19+5</f>
        <v>36</v>
      </c>
      <c r="AA19" s="9">
        <v>0.85</v>
      </c>
      <c r="AB19" s="9">
        <v>0.8</v>
      </c>
      <c r="AC19" s="9">
        <v>0.9</v>
      </c>
      <c r="AD19" s="9">
        <f t="shared" si="4"/>
        <v>0.85</v>
      </c>
      <c r="AE19" s="9">
        <f t="shared" si="5"/>
        <v>4.9328828623162471E-2</v>
      </c>
    </row>
    <row r="20" spans="1:31" x14ac:dyDescent="0.15">
      <c r="A20" s="8">
        <v>14</v>
      </c>
      <c r="B20" s="9">
        <v>2</v>
      </c>
      <c r="C20" s="9">
        <v>2.1</v>
      </c>
      <c r="D20" s="9">
        <f t="shared" si="7"/>
        <v>2.0499999999999998</v>
      </c>
      <c r="E20" s="10">
        <v>19</v>
      </c>
      <c r="F20" s="9">
        <v>0.75</v>
      </c>
      <c r="G20" s="9">
        <v>0.75</v>
      </c>
      <c r="H20" s="9">
        <v>0.75</v>
      </c>
      <c r="I20">
        <f t="shared" si="8"/>
        <v>0.75</v>
      </c>
      <c r="U20" s="8">
        <v>32</v>
      </c>
      <c r="V20" s="9">
        <v>2.1</v>
      </c>
      <c r="W20" s="9">
        <v>2.0499999999999998</v>
      </c>
      <c r="X20" s="9">
        <f t="shared" si="2"/>
        <v>2.0750000000000002</v>
      </c>
      <c r="Y20" s="9">
        <f t="shared" si="3"/>
        <v>4.716990566028309E-2</v>
      </c>
      <c r="Z20" s="10">
        <f t="shared" si="9"/>
        <v>37</v>
      </c>
      <c r="AA20" s="9">
        <v>0.75</v>
      </c>
      <c r="AB20" s="9">
        <v>0.75</v>
      </c>
      <c r="AC20" s="9">
        <v>0.7</v>
      </c>
      <c r="AD20" s="9">
        <f t="shared" si="4"/>
        <v>0.73333333333333339</v>
      </c>
      <c r="AE20" s="9">
        <f t="shared" si="5"/>
        <v>4.3333333333333342E-2</v>
      </c>
    </row>
    <row r="21" spans="1:31" x14ac:dyDescent="0.15">
      <c r="A21" s="8">
        <v>21</v>
      </c>
      <c r="B21" s="9">
        <v>2.1</v>
      </c>
      <c r="C21" s="9">
        <v>2.1</v>
      </c>
      <c r="D21" s="9">
        <f t="shared" si="7"/>
        <v>2.1</v>
      </c>
      <c r="E21" s="10">
        <v>26</v>
      </c>
      <c r="F21" s="9">
        <v>0.75</v>
      </c>
      <c r="G21" s="9">
        <v>0.75</v>
      </c>
      <c r="H21" s="9">
        <v>0.8</v>
      </c>
      <c r="I21">
        <f t="shared" si="8"/>
        <v>0.76666666666666661</v>
      </c>
      <c r="U21" s="8">
        <v>33</v>
      </c>
      <c r="V21" s="9">
        <v>2.1</v>
      </c>
      <c r="W21" s="9">
        <v>2</v>
      </c>
      <c r="X21" s="9">
        <f t="shared" si="2"/>
        <v>2.0499999999999998</v>
      </c>
      <c r="Y21" s="9">
        <f t="shared" si="3"/>
        <v>6.4031242374328529E-2</v>
      </c>
      <c r="Z21" s="10">
        <f t="shared" si="9"/>
        <v>38</v>
      </c>
      <c r="AA21" s="9">
        <v>0.8</v>
      </c>
      <c r="AB21" s="9">
        <v>0.75</v>
      </c>
      <c r="AC21" s="9">
        <v>0.75</v>
      </c>
      <c r="AD21" s="9">
        <f t="shared" si="4"/>
        <v>0.76666666666666661</v>
      </c>
      <c r="AE21" s="9">
        <f t="shared" si="5"/>
        <v>4.3333333333333342E-2</v>
      </c>
    </row>
    <row r="22" spans="1:31" x14ac:dyDescent="0.15">
      <c r="A22" s="8">
        <v>22</v>
      </c>
      <c r="B22" s="9">
        <v>2.15</v>
      </c>
      <c r="C22" s="9">
        <v>2.15</v>
      </c>
      <c r="D22" s="9">
        <f t="shared" si="7"/>
        <v>2.15</v>
      </c>
      <c r="E22" s="10">
        <v>27</v>
      </c>
      <c r="F22" s="9">
        <v>0.65</v>
      </c>
      <c r="G22" s="9">
        <v>0.6</v>
      </c>
      <c r="H22" s="9">
        <v>0.65</v>
      </c>
      <c r="I22">
        <f t="shared" si="8"/>
        <v>0.6333333333333333</v>
      </c>
      <c r="U22" s="8">
        <v>34</v>
      </c>
      <c r="V22" s="9">
        <v>2</v>
      </c>
      <c r="W22" s="9">
        <v>2.0499999999999998</v>
      </c>
      <c r="X22" s="9">
        <f t="shared" si="2"/>
        <v>2.0249999999999999</v>
      </c>
      <c r="Y22" s="9">
        <f t="shared" si="3"/>
        <v>4.7169905660282972E-2</v>
      </c>
      <c r="Z22" s="10">
        <f t="shared" si="9"/>
        <v>39</v>
      </c>
      <c r="AA22" s="9">
        <v>0.7</v>
      </c>
      <c r="AB22" s="9">
        <v>0.65</v>
      </c>
      <c r="AC22" s="9">
        <v>0.7</v>
      </c>
      <c r="AD22" s="9">
        <f t="shared" si="4"/>
        <v>0.68333333333333324</v>
      </c>
      <c r="AE22" s="9">
        <f t="shared" si="5"/>
        <v>4.3333333333333328E-2</v>
      </c>
    </row>
    <row r="23" spans="1:31" x14ac:dyDescent="0.15">
      <c r="A23" s="8">
        <v>23</v>
      </c>
      <c r="B23" s="9">
        <v>2.1</v>
      </c>
      <c r="C23" s="9">
        <v>2.1</v>
      </c>
      <c r="D23" s="9">
        <f t="shared" si="7"/>
        <v>2.1</v>
      </c>
      <c r="E23" s="10">
        <v>28</v>
      </c>
      <c r="F23" s="9">
        <v>0.8</v>
      </c>
      <c r="G23" s="9">
        <v>0.75</v>
      </c>
      <c r="H23" s="9">
        <v>0.75</v>
      </c>
      <c r="I23">
        <f t="shared" si="8"/>
        <v>0.76666666666666661</v>
      </c>
      <c r="U23" s="8">
        <v>41</v>
      </c>
      <c r="V23" s="9">
        <v>2.15</v>
      </c>
      <c r="W23" s="9">
        <v>2.15</v>
      </c>
      <c r="X23" s="9">
        <f t="shared" si="2"/>
        <v>2.15</v>
      </c>
      <c r="Y23" s="9">
        <f t="shared" si="3"/>
        <v>0.04</v>
      </c>
      <c r="Z23" s="10">
        <f t="shared" si="9"/>
        <v>46</v>
      </c>
      <c r="AA23" s="9">
        <v>0.75</v>
      </c>
      <c r="AB23" s="9">
        <v>0.8</v>
      </c>
      <c r="AC23" s="9">
        <v>0.75</v>
      </c>
      <c r="AD23" s="9">
        <f t="shared" si="4"/>
        <v>0.76666666666666661</v>
      </c>
      <c r="AE23" s="9">
        <f t="shared" si="5"/>
        <v>4.3333333333333342E-2</v>
      </c>
    </row>
    <row r="24" spans="1:31" x14ac:dyDescent="0.15">
      <c r="A24" s="8">
        <v>24</v>
      </c>
      <c r="B24" s="9">
        <v>2.1</v>
      </c>
      <c r="C24" s="9">
        <v>2.15</v>
      </c>
      <c r="D24" s="9">
        <f t="shared" si="7"/>
        <v>2.125</v>
      </c>
      <c r="E24" s="10">
        <v>29</v>
      </c>
      <c r="F24" s="9">
        <v>0.65</v>
      </c>
      <c r="G24" s="9">
        <v>0.6</v>
      </c>
      <c r="H24" s="9">
        <v>0.65</v>
      </c>
      <c r="I24">
        <f t="shared" si="8"/>
        <v>0.6333333333333333</v>
      </c>
      <c r="U24" s="8">
        <v>42</v>
      </c>
      <c r="V24" s="9">
        <v>2.1</v>
      </c>
      <c r="W24" s="9">
        <v>2.1</v>
      </c>
      <c r="X24" s="9">
        <f t="shared" si="2"/>
        <v>2.1</v>
      </c>
      <c r="Y24" s="9">
        <f t="shared" si="3"/>
        <v>0.04</v>
      </c>
      <c r="Z24" s="10">
        <f t="shared" si="9"/>
        <v>47</v>
      </c>
      <c r="AA24" s="9">
        <v>0.8</v>
      </c>
      <c r="AB24" s="9">
        <v>0.7</v>
      </c>
      <c r="AC24" s="9">
        <v>0.75</v>
      </c>
      <c r="AD24" s="9">
        <f t="shared" si="4"/>
        <v>0.75</v>
      </c>
      <c r="AE24" s="9">
        <f t="shared" si="5"/>
        <v>4.9328828623162492E-2</v>
      </c>
    </row>
    <row r="25" spans="1:31" x14ac:dyDescent="0.15">
      <c r="A25" s="8">
        <v>31</v>
      </c>
      <c r="B25" s="9">
        <v>2</v>
      </c>
      <c r="C25" s="9">
        <v>2</v>
      </c>
      <c r="D25" s="9">
        <f t="shared" si="7"/>
        <v>2</v>
      </c>
      <c r="E25" s="10">
        <f t="shared" ref="E25:E30" si="10">A25+5</f>
        <v>36</v>
      </c>
      <c r="F25" s="9">
        <v>0.85</v>
      </c>
      <c r="G25" s="9">
        <v>0.8</v>
      </c>
      <c r="H25" s="9">
        <v>0.9</v>
      </c>
      <c r="I25">
        <f t="shared" si="8"/>
        <v>0.85</v>
      </c>
      <c r="U25" s="8">
        <v>45</v>
      </c>
      <c r="V25" s="9">
        <v>2.1</v>
      </c>
      <c r="W25" s="9">
        <v>2.1</v>
      </c>
      <c r="X25" s="9">
        <f t="shared" si="2"/>
        <v>2.1</v>
      </c>
      <c r="Y25" s="9">
        <f t="shared" si="3"/>
        <v>0.04</v>
      </c>
      <c r="Z25" s="10">
        <v>48</v>
      </c>
      <c r="AA25" s="9">
        <v>0.8</v>
      </c>
      <c r="AB25" s="9">
        <v>0.75</v>
      </c>
      <c r="AC25" s="9">
        <v>0.75</v>
      </c>
      <c r="AD25" s="9">
        <f t="shared" si="4"/>
        <v>0.76666666666666661</v>
      </c>
      <c r="AE25" s="9">
        <f t="shared" si="5"/>
        <v>4.3333333333333342E-2</v>
      </c>
    </row>
    <row r="26" spans="1:31" x14ac:dyDescent="0.15">
      <c r="A26" s="8">
        <v>32</v>
      </c>
      <c r="B26" s="9">
        <v>2.1</v>
      </c>
      <c r="C26" s="9">
        <v>2.0499999999999998</v>
      </c>
      <c r="D26" s="9">
        <f t="shared" si="7"/>
        <v>2.0750000000000002</v>
      </c>
      <c r="E26" s="10">
        <f t="shared" si="10"/>
        <v>37</v>
      </c>
      <c r="F26" s="9">
        <v>0.75</v>
      </c>
      <c r="G26" s="9">
        <v>0.75</v>
      </c>
      <c r="H26" s="9">
        <v>0.7</v>
      </c>
      <c r="I26">
        <f t="shared" si="8"/>
        <v>0.73333333333333339</v>
      </c>
      <c r="U26" s="8">
        <v>410</v>
      </c>
      <c r="V26" s="9">
        <v>2.1</v>
      </c>
      <c r="W26" s="9">
        <v>2.15</v>
      </c>
      <c r="X26" s="9">
        <f t="shared" si="2"/>
        <v>2.125</v>
      </c>
      <c r="Y26" s="9">
        <f t="shared" si="3"/>
        <v>4.7169905660282972E-2</v>
      </c>
      <c r="Z26" s="10">
        <v>49</v>
      </c>
      <c r="AA26" s="9">
        <v>0.8</v>
      </c>
      <c r="AB26" s="9">
        <v>0.8</v>
      </c>
      <c r="AC26" s="9">
        <v>0.75</v>
      </c>
      <c r="AD26" s="9">
        <f t="shared" si="4"/>
        <v>0.78333333333333333</v>
      </c>
      <c r="AE26" s="9">
        <f t="shared" si="5"/>
        <v>4.3333333333333342E-2</v>
      </c>
    </row>
    <row r="27" spans="1:31" x14ac:dyDescent="0.15">
      <c r="A27" s="8">
        <v>33</v>
      </c>
      <c r="B27" s="9">
        <v>2.1</v>
      </c>
      <c r="C27" s="9">
        <v>2</v>
      </c>
      <c r="D27" s="9">
        <f t="shared" si="7"/>
        <v>2.0499999999999998</v>
      </c>
      <c r="E27" s="10">
        <f t="shared" si="10"/>
        <v>38</v>
      </c>
      <c r="F27" s="9">
        <v>0.8</v>
      </c>
      <c r="G27" s="9">
        <v>0.75</v>
      </c>
      <c r="H27" s="9">
        <v>0.75</v>
      </c>
      <c r="I27">
        <f t="shared" si="8"/>
        <v>0.76666666666666661</v>
      </c>
    </row>
    <row r="28" spans="1:31" x14ac:dyDescent="0.15">
      <c r="A28" s="8">
        <v>34</v>
      </c>
      <c r="B28" s="9">
        <v>2</v>
      </c>
      <c r="C28" s="9">
        <v>2.0499999999999998</v>
      </c>
      <c r="D28" s="9">
        <f t="shared" si="7"/>
        <v>2.0249999999999999</v>
      </c>
      <c r="E28" s="10">
        <f t="shared" si="10"/>
        <v>39</v>
      </c>
      <c r="F28" s="9">
        <v>0.7</v>
      </c>
      <c r="G28" s="9">
        <v>0.65</v>
      </c>
      <c r="H28" s="9">
        <v>0.7</v>
      </c>
      <c r="I28">
        <f t="shared" si="8"/>
        <v>0.68333333333333324</v>
      </c>
    </row>
    <row r="29" spans="1:31" x14ac:dyDescent="0.15">
      <c r="A29" s="8">
        <v>41</v>
      </c>
      <c r="B29" s="9">
        <v>2.15</v>
      </c>
      <c r="C29" s="9">
        <v>2.15</v>
      </c>
      <c r="D29" s="9">
        <f t="shared" si="7"/>
        <v>2.15</v>
      </c>
      <c r="E29" s="10">
        <f t="shared" si="10"/>
        <v>46</v>
      </c>
      <c r="F29" s="9">
        <v>0.75</v>
      </c>
      <c r="G29" s="9">
        <v>0.8</v>
      </c>
      <c r="H29" s="9">
        <v>0.75</v>
      </c>
      <c r="I29">
        <f t="shared" si="8"/>
        <v>0.76666666666666661</v>
      </c>
    </row>
    <row r="30" spans="1:31" x14ac:dyDescent="0.15">
      <c r="A30" s="8">
        <v>42</v>
      </c>
      <c r="B30" s="9">
        <v>2.1</v>
      </c>
      <c r="C30" s="9">
        <v>2.1</v>
      </c>
      <c r="D30" s="9">
        <f t="shared" si="7"/>
        <v>2.1</v>
      </c>
      <c r="E30" s="10">
        <f t="shared" si="10"/>
        <v>47</v>
      </c>
      <c r="F30" s="9">
        <v>0.8</v>
      </c>
      <c r="G30" s="9">
        <v>0.7</v>
      </c>
      <c r="H30" s="9">
        <v>0.75</v>
      </c>
      <c r="I30">
        <f t="shared" si="8"/>
        <v>0.75</v>
      </c>
    </row>
    <row r="31" spans="1:31" x14ac:dyDescent="0.15">
      <c r="A31" s="8">
        <v>45</v>
      </c>
      <c r="B31" s="9">
        <v>2.1</v>
      </c>
      <c r="C31" s="9">
        <v>2.1</v>
      </c>
      <c r="D31" s="9">
        <f t="shared" si="7"/>
        <v>2.1</v>
      </c>
      <c r="E31" s="10">
        <v>48</v>
      </c>
      <c r="F31" s="9">
        <v>0.8</v>
      </c>
      <c r="G31" s="9">
        <v>0.75</v>
      </c>
      <c r="H31" s="9">
        <v>0.75</v>
      </c>
      <c r="I31">
        <f t="shared" si="8"/>
        <v>0.76666666666666661</v>
      </c>
    </row>
    <row r="32" spans="1:31" x14ac:dyDescent="0.15">
      <c r="A32" s="8">
        <v>50</v>
      </c>
      <c r="B32" s="9">
        <v>2.1</v>
      </c>
      <c r="C32" s="9">
        <v>2.15</v>
      </c>
      <c r="D32" s="9">
        <f t="shared" si="7"/>
        <v>2.125</v>
      </c>
      <c r="E32" s="10">
        <v>49</v>
      </c>
      <c r="F32" s="9">
        <v>0.8</v>
      </c>
      <c r="G32" s="9">
        <v>0.8</v>
      </c>
      <c r="H32" s="9">
        <v>0.75</v>
      </c>
      <c r="I32">
        <f t="shared" si="8"/>
        <v>0.78333333333333333</v>
      </c>
    </row>
  </sheetData>
  <pageMargins left="0.78749999999999998" right="0.78749999999999998" top="0.78749999999999998" bottom="0.78749999999999998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tabSelected="1" topLeftCell="X1" zoomScale="135" zoomScaleNormal="100" zoomScalePageLayoutView="60" workbookViewId="0">
      <selection activeCell="I12" sqref="I12"/>
    </sheetView>
  </sheetViews>
  <sheetFormatPr baseColWidth="10" defaultColWidth="8.83203125" defaultRowHeight="13" x14ac:dyDescent="0.15"/>
  <cols>
    <col min="1" max="2" width="11.5"/>
    <col min="3" max="3" width="11.5" style="8"/>
    <col min="4" max="4" width="11.5"/>
    <col min="5" max="5" width="11.5" style="8"/>
    <col min="6" max="6" width="11.5"/>
    <col min="7" max="7" width="11.5" style="11"/>
    <col min="8" max="8" width="11.5"/>
    <col min="9" max="9" width="11.5" style="8"/>
    <col min="10" max="10" width="11.5"/>
    <col min="11" max="11" width="11.5" style="11"/>
    <col min="12" max="13" width="11.5"/>
    <col min="14" max="14" width="11.5" style="8"/>
    <col min="15" max="16" width="11.5"/>
    <col min="17" max="17" width="11.5" style="11"/>
    <col min="18" max="19" width="11.5"/>
    <col min="20" max="20" width="11.5" style="8"/>
    <col min="21" max="22" width="11.5"/>
    <col min="23" max="23" width="11.5" style="11"/>
    <col min="24" max="25" width="11.5"/>
    <col min="26" max="26" width="11.5" style="8"/>
    <col min="27" max="31" width="11.5"/>
    <col min="32" max="32" width="12.33203125" bestFit="1" customWidth="1"/>
    <col min="33" max="1025" width="11.5"/>
  </cols>
  <sheetData>
    <row r="1" spans="1:35" x14ac:dyDescent="0.15">
      <c r="D1" s="3" t="s">
        <v>23</v>
      </c>
      <c r="E1" s="3"/>
      <c r="F1" s="3"/>
      <c r="G1" s="3"/>
      <c r="H1" s="2" t="s">
        <v>24</v>
      </c>
      <c r="I1" s="2"/>
      <c r="J1" s="2"/>
      <c r="K1" s="2"/>
      <c r="L1" s="1" t="s">
        <v>17</v>
      </c>
      <c r="M1" s="1"/>
      <c r="N1" s="1"/>
      <c r="O1" s="1"/>
      <c r="P1" s="1"/>
      <c r="Q1" s="1"/>
      <c r="R1" s="1" t="s">
        <v>19</v>
      </c>
      <c r="S1" s="1"/>
      <c r="T1" s="1"/>
      <c r="U1" s="1"/>
      <c r="V1" s="1"/>
      <c r="W1" s="1"/>
      <c r="X1" s="1" t="s">
        <v>17</v>
      </c>
      <c r="Y1" s="1"/>
      <c r="Z1" s="1"/>
      <c r="AA1" s="1" t="s">
        <v>19</v>
      </c>
      <c r="AB1" s="1"/>
      <c r="AC1" s="1"/>
      <c r="AE1" t="s">
        <v>17</v>
      </c>
      <c r="AH1" t="s">
        <v>19</v>
      </c>
    </row>
    <row r="2" spans="1:35" x14ac:dyDescent="0.15">
      <c r="A2" t="s">
        <v>25</v>
      </c>
      <c r="B2" t="s">
        <v>26</v>
      </c>
      <c r="C2" s="8" t="s">
        <v>27</v>
      </c>
      <c r="D2" t="s">
        <v>28</v>
      </c>
      <c r="E2" s="8" t="s">
        <v>29</v>
      </c>
      <c r="F2" t="s">
        <v>28</v>
      </c>
      <c r="G2" s="11" t="s">
        <v>29</v>
      </c>
      <c r="H2" t="s">
        <v>28</v>
      </c>
      <c r="I2" s="8" t="s">
        <v>29</v>
      </c>
      <c r="J2" t="s">
        <v>28</v>
      </c>
      <c r="K2" s="11" t="s">
        <v>29</v>
      </c>
      <c r="L2" t="s">
        <v>30</v>
      </c>
      <c r="M2" t="s">
        <v>31</v>
      </c>
      <c r="N2" s="8" t="s">
        <v>32</v>
      </c>
      <c r="O2" t="s">
        <v>40</v>
      </c>
      <c r="P2" t="s">
        <v>41</v>
      </c>
      <c r="Q2" s="8" t="s">
        <v>42</v>
      </c>
      <c r="R2" t="s">
        <v>40</v>
      </c>
      <c r="S2" t="s">
        <v>41</v>
      </c>
      <c r="T2" s="8" t="s">
        <v>42</v>
      </c>
      <c r="U2" t="s">
        <v>40</v>
      </c>
      <c r="V2" t="s">
        <v>41</v>
      </c>
      <c r="W2" s="8" t="s">
        <v>42</v>
      </c>
      <c r="X2" t="s">
        <v>33</v>
      </c>
      <c r="Y2" t="s">
        <v>43</v>
      </c>
      <c r="Z2" s="8" t="s">
        <v>35</v>
      </c>
      <c r="AA2" t="s">
        <v>33</v>
      </c>
      <c r="AB2" t="s">
        <v>34</v>
      </c>
      <c r="AC2" s="8" t="s">
        <v>35</v>
      </c>
      <c r="AD2" s="17" t="s">
        <v>46</v>
      </c>
      <c r="AE2" s="17" t="s">
        <v>45</v>
      </c>
      <c r="AF2" s="17" t="s">
        <v>47</v>
      </c>
      <c r="AG2" s="17" t="s">
        <v>46</v>
      </c>
      <c r="AH2" s="17" t="s">
        <v>45</v>
      </c>
      <c r="AI2" s="17" t="s">
        <v>47</v>
      </c>
    </row>
    <row r="3" spans="1:35" x14ac:dyDescent="0.15">
      <c r="A3" s="12">
        <f t="shared" ref="A3:A10" si="0">1000/(C3+273)</f>
        <v>3.3555920942250261</v>
      </c>
      <c r="B3" s="12">
        <f t="shared" ref="B3:B10" si="1">1.26+(C3-20)*(-0.01)/(44-20)</f>
        <v>1.2579125</v>
      </c>
      <c r="C3">
        <v>25.01</v>
      </c>
      <c r="D3">
        <v>21.78</v>
      </c>
      <c r="E3" s="8">
        <v>43.73</v>
      </c>
      <c r="F3">
        <v>22.05</v>
      </c>
      <c r="G3" s="11">
        <v>44.01</v>
      </c>
      <c r="H3">
        <v>30.4</v>
      </c>
      <c r="I3" s="8">
        <v>60.48</v>
      </c>
      <c r="J3">
        <v>33.1</v>
      </c>
      <c r="K3" s="11">
        <v>65.989999999999995</v>
      </c>
      <c r="L3" s="12">
        <f t="shared" ref="L3:L14" si="2">10/D3</f>
        <v>0.4591368227731864</v>
      </c>
      <c r="M3" s="12">
        <f t="shared" ref="M3:M14" si="3">20/E3</f>
        <v>0.45735193231191407</v>
      </c>
      <c r="N3" s="13">
        <f t="shared" ref="N3:N14" si="4">AVERAGE(L3:M3)</f>
        <v>0.45824437754255021</v>
      </c>
      <c r="O3" s="12">
        <f t="shared" ref="O3:O14" si="5">10/F3</f>
        <v>0.45351473922902491</v>
      </c>
      <c r="P3" s="12">
        <f t="shared" ref="P3:P14" si="6">20/G3</f>
        <v>0.4544421722335833</v>
      </c>
      <c r="Q3" s="14">
        <f t="shared" ref="Q3:Q14" si="7">AVERAGE(O3:P3)</f>
        <v>0.45397845573130413</v>
      </c>
      <c r="R3" s="12">
        <f t="shared" ref="R3:R14" si="8">10/H3</f>
        <v>0.32894736842105265</v>
      </c>
      <c r="S3" s="12">
        <f t="shared" ref="S3:S14" si="9">20/I3</f>
        <v>0.3306878306878307</v>
      </c>
      <c r="T3" s="13">
        <f t="shared" ref="T3:T14" si="10">AVERAGE(R3:S3)</f>
        <v>0.32981759955444168</v>
      </c>
      <c r="U3" s="12">
        <f>10/J3</f>
        <v>0.30211480362537763</v>
      </c>
      <c r="V3" s="12">
        <f t="shared" ref="V3:V14" si="11">20/K3</f>
        <v>0.30307622367025311</v>
      </c>
      <c r="W3" s="14">
        <f t="shared" ref="W3:W14" si="12">AVERAGE(U3:V3)</f>
        <v>0.30259551364781534</v>
      </c>
      <c r="X3">
        <f>2/9*(2.5-B3)/N3*9.81*Лист2!C8^2/4/10</f>
        <v>0.60576141047075571</v>
      </c>
      <c r="Y3">
        <f>2/9*(2.5-B3)/Q3*9.81*Лист2!D8^2/40</f>
        <v>0.62664441358479728</v>
      </c>
      <c r="Z3" s="8">
        <f>LN((X3+Y3)/2)</f>
        <v>-0.48417896704726221</v>
      </c>
      <c r="AA3">
        <f>2/9*(7.8-B3)/T3*9.81*Лист2!C13^2/40</f>
        <v>0.66333397125558047</v>
      </c>
      <c r="AB3">
        <f>2/9*(7.8-B3)/W3*9.81*Лист2!D13^2/40</f>
        <v>0.66278533843465326</v>
      </c>
      <c r="AC3" s="8">
        <f>LN((AA3+AB3)/2)</f>
        <v>-0.41089031570201873</v>
      </c>
      <c r="AD3">
        <f>B3*Q3*25*0.01/((X3+Y3)/2)</f>
        <v>0.23168714519534847</v>
      </c>
      <c r="AE3">
        <f>2/9*(1.024*0.001)^2*2500/((X3+Y3)/2)</f>
        <v>9.4537401698608487E-4</v>
      </c>
      <c r="AF3">
        <f>Q3*AE3*0.01</f>
        <v>4.2917943631984252E-6</v>
      </c>
      <c r="AG3">
        <f>B3*W3*25*0.01/((AA3+AB3)/2)</f>
        <v>0.1435160005137171</v>
      </c>
      <c r="AH3">
        <f>2/9*(0.3725*0.001)^2*7800/((AA3+AB3)/2)</f>
        <v>3.6272880060771298E-4</v>
      </c>
      <c r="AI3">
        <f>AH3*W3*0.01</f>
        <v>1.0976010773474691E-6</v>
      </c>
    </row>
    <row r="4" spans="1:35" x14ac:dyDescent="0.15">
      <c r="A4" s="12">
        <f t="shared" si="0"/>
        <v>3.2986970146792021</v>
      </c>
      <c r="B4" s="12">
        <f t="shared" si="1"/>
        <v>1.2557708333333333</v>
      </c>
      <c r="C4" s="8">
        <v>30.15</v>
      </c>
      <c r="D4">
        <v>15.73</v>
      </c>
      <c r="E4" s="8">
        <v>30.4</v>
      </c>
      <c r="F4">
        <v>15.17</v>
      </c>
      <c r="G4" s="11">
        <v>30.48</v>
      </c>
      <c r="H4">
        <v>23.95</v>
      </c>
      <c r="I4" s="8">
        <v>47.55</v>
      </c>
      <c r="J4">
        <v>24.82</v>
      </c>
      <c r="K4" s="11">
        <v>49.58</v>
      </c>
      <c r="L4" s="12">
        <f t="shared" si="2"/>
        <v>0.63572790845518112</v>
      </c>
      <c r="M4" s="12">
        <f t="shared" si="3"/>
        <v>0.65789473684210531</v>
      </c>
      <c r="N4" s="13">
        <f t="shared" si="4"/>
        <v>0.64681132264864316</v>
      </c>
      <c r="O4" s="12">
        <f t="shared" si="5"/>
        <v>0.65919578114700061</v>
      </c>
      <c r="P4" s="12">
        <f t="shared" si="6"/>
        <v>0.65616797900262469</v>
      </c>
      <c r="Q4" s="14">
        <f t="shared" si="7"/>
        <v>0.65768188007481265</v>
      </c>
      <c r="R4" s="12">
        <f t="shared" si="8"/>
        <v>0.41753653444676408</v>
      </c>
      <c r="S4" s="12">
        <f t="shared" si="9"/>
        <v>0.42060988433228186</v>
      </c>
      <c r="T4" s="13">
        <f t="shared" si="10"/>
        <v>0.41907320938952297</v>
      </c>
      <c r="U4" s="12">
        <f t="shared" ref="U3:U14" si="13">10/J4</f>
        <v>0.40290088638195004</v>
      </c>
      <c r="V4" s="12">
        <f t="shared" si="11"/>
        <v>0.40338846308995563</v>
      </c>
      <c r="W4" s="14">
        <f t="shared" si="12"/>
        <v>0.40314467473595283</v>
      </c>
      <c r="X4">
        <f>2/9*(2.5-B4)/N4*9.81*Лист2!E8^2/4/10</f>
        <v>0.47340968115840376</v>
      </c>
      <c r="Y4">
        <f>2/9*(2.5-B4)/Q4*9.81*Лист2!F8^2/40</f>
        <v>0.43330003624479058</v>
      </c>
      <c r="Z4" s="8">
        <f t="shared" ref="Z4:Z10" si="14">LN((X4+Y4)/2)</f>
        <v>-0.7910801076174101</v>
      </c>
      <c r="AA4">
        <f>2/9*(7.8-B4)/T4*9.81*Лист2!E13^2/40</f>
        <v>0.45768634503901195</v>
      </c>
      <c r="AB4">
        <f>2/9*(7.8-B4)/W4*9.81*Лист2!F13^2/40</f>
        <v>0.49764151175263782</v>
      </c>
      <c r="AC4" s="8">
        <f t="shared" ref="AC4:AC10" si="15">LN((AA4+AB4)/2)</f>
        <v>-0.73884787243622108</v>
      </c>
      <c r="AD4">
        <f t="shared" ref="AD4:AD10" si="16">B4*Q4*25*0.01/((X4+Y4)/2)</f>
        <v>0.45543667766964163</v>
      </c>
      <c r="AE4">
        <f t="shared" ref="AE4:AE10" si="17">2/9*(1.024*0.001)^2*2500/((X4+Y4)/2)</f>
        <v>1.2849585948866106E-3</v>
      </c>
      <c r="AF4">
        <f t="shared" ref="AF4:AF10" si="18">Q4*AE4*0.01</f>
        <v>8.4509398450331557E-6</v>
      </c>
      <c r="AG4">
        <f t="shared" ref="AG4:AG10" si="19">B4*W4*25*0.01/((AA4+AB4)/2)</f>
        <v>0.26496522662244221</v>
      </c>
      <c r="AH4">
        <f t="shared" ref="AH4:AH10" si="20">2/9*(0.3725*0.001)^2*7800/((AA4+AB4)/2)</f>
        <v>5.0351474967150905E-4</v>
      </c>
      <c r="AI4">
        <f t="shared" ref="AI4:AI10" si="21">AH4*W4*0.01</f>
        <v>2.0298928998107524E-6</v>
      </c>
    </row>
    <row r="5" spans="1:35" x14ac:dyDescent="0.15">
      <c r="A5" s="12">
        <f t="shared" si="0"/>
        <v>3.2472804026627702</v>
      </c>
      <c r="B5" s="12">
        <f t="shared" si="1"/>
        <v>1.2537708333333333</v>
      </c>
      <c r="C5" s="8">
        <v>34.950000000000003</v>
      </c>
      <c r="D5">
        <v>9.82</v>
      </c>
      <c r="E5" s="8">
        <v>19.87</v>
      </c>
      <c r="F5">
        <v>10.26</v>
      </c>
      <c r="G5" s="11">
        <v>20.51</v>
      </c>
      <c r="H5">
        <v>12.38</v>
      </c>
      <c r="I5" s="8">
        <v>24.22</v>
      </c>
      <c r="J5">
        <v>21.29</v>
      </c>
      <c r="K5" s="11">
        <v>42.13</v>
      </c>
      <c r="L5" s="12">
        <f t="shared" si="2"/>
        <v>1.0183299389002036</v>
      </c>
      <c r="M5" s="12">
        <f t="shared" si="3"/>
        <v>1.0065425264217414</v>
      </c>
      <c r="N5" s="13">
        <f t="shared" si="4"/>
        <v>1.0124362326609724</v>
      </c>
      <c r="O5" s="12">
        <f t="shared" si="5"/>
        <v>0.97465886939571156</v>
      </c>
      <c r="P5" s="12">
        <f t="shared" si="6"/>
        <v>0.97513408093612863</v>
      </c>
      <c r="Q5" s="14">
        <f t="shared" si="7"/>
        <v>0.97489647516592015</v>
      </c>
      <c r="R5" s="12">
        <f t="shared" si="8"/>
        <v>0.80775444264943452</v>
      </c>
      <c r="S5" s="12">
        <f t="shared" si="9"/>
        <v>0.82576383154417843</v>
      </c>
      <c r="T5" s="13">
        <f t="shared" si="10"/>
        <v>0.81675913709680648</v>
      </c>
      <c r="U5" s="12">
        <f t="shared" si="13"/>
        <v>0.46970408642555195</v>
      </c>
      <c r="V5" s="12">
        <f t="shared" si="11"/>
        <v>0.47472110135295509</v>
      </c>
      <c r="W5" s="14">
        <f t="shared" si="12"/>
        <v>0.47221259388925352</v>
      </c>
      <c r="X5">
        <f>2/9*(2.5-B5)/N5*9.81*Лист2!G8^2/4/10</f>
        <v>0.29584574257606588</v>
      </c>
      <c r="Y5">
        <f>2/9*(2.5-B5)/Q5*9.81*Лист2!H8^2/40</f>
        <v>0.32204223586460812</v>
      </c>
      <c r="Z5" s="8">
        <f t="shared" si="14"/>
        <v>-1.174595283173919</v>
      </c>
      <c r="AA5">
        <f>2/9*(7.8-B5)/T5*9.81*Лист2!G13^2/40</f>
        <v>0.25674788103576346</v>
      </c>
      <c r="AB5">
        <f>2/9*(7.8-B5)/W5*9.81*Лист2!H13^2/40</f>
        <v>0.30305038075896079</v>
      </c>
      <c r="AC5" s="8">
        <f t="shared" si="15"/>
        <v>-1.2733259875124876</v>
      </c>
      <c r="AD5">
        <f t="shared" si="16"/>
        <v>0.98909252868710962</v>
      </c>
      <c r="AE5">
        <f t="shared" si="17"/>
        <v>1.8855917012412129E-3</v>
      </c>
      <c r="AF5">
        <f t="shared" si="18"/>
        <v>1.8382567031421692E-5</v>
      </c>
      <c r="AG5">
        <f t="shared" si="19"/>
        <v>0.52880333662783441</v>
      </c>
      <c r="AH5">
        <f t="shared" si="20"/>
        <v>8.5927681362300379E-4</v>
      </c>
      <c r="AI5">
        <f t="shared" si="21"/>
        <v>4.057613330298113E-6</v>
      </c>
    </row>
    <row r="6" spans="1:35" x14ac:dyDescent="0.15">
      <c r="A6" s="12">
        <f t="shared" si="0"/>
        <v>3.1958071010833788</v>
      </c>
      <c r="B6" s="12">
        <f t="shared" si="1"/>
        <v>1.2517041666666666</v>
      </c>
      <c r="C6" s="8">
        <v>39.909999999999997</v>
      </c>
      <c r="D6">
        <v>7.64</v>
      </c>
      <c r="E6" s="8">
        <v>15.12</v>
      </c>
      <c r="F6">
        <v>7.6</v>
      </c>
      <c r="G6" s="11">
        <v>15.33</v>
      </c>
      <c r="H6">
        <v>10.76</v>
      </c>
      <c r="I6" s="8">
        <v>21.49</v>
      </c>
      <c r="J6">
        <v>7.83</v>
      </c>
      <c r="K6" s="11">
        <v>15.61</v>
      </c>
      <c r="L6" s="12">
        <f t="shared" si="2"/>
        <v>1.3089005235602096</v>
      </c>
      <c r="M6" s="12">
        <f t="shared" si="3"/>
        <v>1.3227513227513228</v>
      </c>
      <c r="N6" s="13">
        <f t="shared" si="4"/>
        <v>1.3158259231557663</v>
      </c>
      <c r="O6" s="12">
        <f t="shared" si="5"/>
        <v>1.3157894736842106</v>
      </c>
      <c r="P6" s="12">
        <f t="shared" si="6"/>
        <v>1.3046314416177429</v>
      </c>
      <c r="Q6" s="14">
        <f t="shared" si="7"/>
        <v>1.3102104576509768</v>
      </c>
      <c r="R6" s="12">
        <f t="shared" si="8"/>
        <v>0.92936802973977695</v>
      </c>
      <c r="S6" s="12">
        <f t="shared" si="9"/>
        <v>0.93066542577943234</v>
      </c>
      <c r="T6" s="13">
        <f t="shared" si="10"/>
        <v>0.93001672775960464</v>
      </c>
      <c r="U6" s="12">
        <f t="shared" si="13"/>
        <v>1.277139208173691</v>
      </c>
      <c r="V6" s="12">
        <f t="shared" si="11"/>
        <v>1.2812299807815504</v>
      </c>
      <c r="W6" s="14">
        <f t="shared" si="12"/>
        <v>1.2791845944776208</v>
      </c>
      <c r="X6">
        <f>2/9*(2.5-B6)/N6*9.81*Лист2!I8^2/4/10</f>
        <v>0.22801014692198285</v>
      </c>
      <c r="Y6">
        <f>2/9*(2.5-B6)/Q6*9.81*Лист2!J8^2/40</f>
        <v>0.234471914990171</v>
      </c>
      <c r="Z6" s="8">
        <f t="shared" si="14"/>
        <v>-1.4642946883965646</v>
      </c>
      <c r="AA6">
        <f>2/9*(7.8-B6)/T6*9.81*Лист2!I13^2/40</f>
        <v>0.22555226683061963</v>
      </c>
      <c r="AB6">
        <f>2/9*(7.8-B6)/W6*9.81*Лист2!J13^2/40</f>
        <v>0.11190674549770827</v>
      </c>
      <c r="AC6" s="8">
        <f t="shared" si="15"/>
        <v>-1.7794584015576358</v>
      </c>
      <c r="AD6">
        <f t="shared" si="16"/>
        <v>1.7730372960535241</v>
      </c>
      <c r="AE6">
        <f t="shared" si="17"/>
        <v>2.5191992087808725E-3</v>
      </c>
      <c r="AF6">
        <f t="shared" si="18"/>
        <v>3.3006811482507657E-5</v>
      </c>
      <c r="AG6">
        <f t="shared" si="19"/>
        <v>2.3723780197720914</v>
      </c>
      <c r="AH6">
        <f t="shared" si="20"/>
        <v>1.4254224930838736E-3</v>
      </c>
      <c r="AI6">
        <f t="shared" si="21"/>
        <v>1.8233784937747741E-5</v>
      </c>
    </row>
    <row r="7" spans="1:35" x14ac:dyDescent="0.15">
      <c r="A7" s="12">
        <f t="shared" si="0"/>
        <v>3.1456432840515887</v>
      </c>
      <c r="B7" s="12">
        <f t="shared" si="1"/>
        <v>1.249625</v>
      </c>
      <c r="C7" s="8">
        <v>44.9</v>
      </c>
      <c r="D7">
        <v>5.5</v>
      </c>
      <c r="E7" s="8">
        <v>10.98</v>
      </c>
      <c r="F7">
        <v>5.36</v>
      </c>
      <c r="G7" s="11">
        <v>10.67</v>
      </c>
      <c r="H7">
        <v>6.55</v>
      </c>
      <c r="I7" s="8">
        <v>12.47</v>
      </c>
      <c r="J7">
        <v>8.48</v>
      </c>
      <c r="K7" s="11">
        <v>16.41</v>
      </c>
      <c r="L7" s="12">
        <f t="shared" si="2"/>
        <v>1.8181818181818181</v>
      </c>
      <c r="M7" s="12">
        <f t="shared" si="3"/>
        <v>1.8214936247723132</v>
      </c>
      <c r="N7" s="13">
        <f t="shared" si="4"/>
        <v>1.8198377214770658</v>
      </c>
      <c r="O7" s="12">
        <f t="shared" si="5"/>
        <v>1.8656716417910446</v>
      </c>
      <c r="P7" s="12">
        <f t="shared" si="6"/>
        <v>1.8744142455482662</v>
      </c>
      <c r="Q7" s="14">
        <f t="shared" si="7"/>
        <v>1.8700429436696555</v>
      </c>
      <c r="R7" s="12">
        <f t="shared" si="8"/>
        <v>1.5267175572519085</v>
      </c>
      <c r="S7" s="12">
        <f t="shared" si="9"/>
        <v>1.6038492381716118</v>
      </c>
      <c r="T7" s="13">
        <f t="shared" si="10"/>
        <v>1.5652833977117602</v>
      </c>
      <c r="U7" s="12">
        <f t="shared" si="13"/>
        <v>1.1792452830188678</v>
      </c>
      <c r="V7" s="12">
        <f t="shared" si="11"/>
        <v>1.218769043266301</v>
      </c>
      <c r="W7" s="14">
        <f t="shared" si="12"/>
        <v>1.1990071631425843</v>
      </c>
      <c r="X7">
        <f>2/9*(2.5-B7)/N7*9.81*Лист2!K8^2/4/10</f>
        <v>0.14978354761146498</v>
      </c>
      <c r="Y7">
        <f>2/9*(2.5-B7)/Q7*9.81*Лист2!L8^2/40</f>
        <v>0.15689944465134617</v>
      </c>
      <c r="Z7" s="8">
        <f t="shared" si="14"/>
        <v>-1.8750878439444709</v>
      </c>
      <c r="AA7">
        <f>2/9*(7.8-B7)/T7*9.81*Лист2!K13^2/40</f>
        <v>0.16478115334948848</v>
      </c>
      <c r="AB7">
        <f>2/9*(7.8-B7)/W7*9.81*Лист2!L13^2/40</f>
        <v>0.16011932118267511</v>
      </c>
      <c r="AC7" s="8">
        <f t="shared" si="15"/>
        <v>-1.81738355631973</v>
      </c>
      <c r="AD7">
        <f t="shared" si="16"/>
        <v>3.8098826352271828</v>
      </c>
      <c r="AE7">
        <f t="shared" si="17"/>
        <v>3.798986164338805E-3</v>
      </c>
      <c r="AF7">
        <f t="shared" si="18"/>
        <v>7.1042672697204325E-5</v>
      </c>
      <c r="AG7">
        <f t="shared" si="19"/>
        <v>2.305797380566347</v>
      </c>
      <c r="AH7">
        <f t="shared" si="20"/>
        <v>1.4805200495915185E-3</v>
      </c>
      <c r="AI7">
        <f t="shared" si="21"/>
        <v>1.7751541446364449E-5</v>
      </c>
    </row>
    <row r="8" spans="1:35" x14ac:dyDescent="0.15">
      <c r="A8" s="12">
        <f t="shared" si="0"/>
        <v>3.0947296753628573</v>
      </c>
      <c r="B8" s="12">
        <f t="shared" si="1"/>
        <v>1.2474458333333334</v>
      </c>
      <c r="C8" s="8">
        <v>50.13</v>
      </c>
      <c r="D8">
        <v>4.5</v>
      </c>
      <c r="E8" s="8">
        <v>9.0299999999999994</v>
      </c>
      <c r="F8">
        <v>4.34</v>
      </c>
      <c r="G8" s="11">
        <v>8.9</v>
      </c>
      <c r="H8">
        <v>5.24</v>
      </c>
      <c r="I8" s="8">
        <v>10.6</v>
      </c>
      <c r="J8">
        <v>7.21</v>
      </c>
      <c r="K8" s="11">
        <v>14.73</v>
      </c>
      <c r="L8" s="12">
        <f t="shared" si="2"/>
        <v>2.2222222222222223</v>
      </c>
      <c r="M8" s="12">
        <f t="shared" si="3"/>
        <v>2.2148394241417497</v>
      </c>
      <c r="N8" s="13">
        <f t="shared" si="4"/>
        <v>2.218530823181986</v>
      </c>
      <c r="O8" s="12">
        <f t="shared" si="5"/>
        <v>2.3041474654377883</v>
      </c>
      <c r="P8" s="12">
        <f t="shared" si="6"/>
        <v>2.2471910112359548</v>
      </c>
      <c r="Q8" s="14">
        <f t="shared" si="7"/>
        <v>2.2756692383368717</v>
      </c>
      <c r="R8" s="12">
        <f t="shared" si="8"/>
        <v>1.9083969465648853</v>
      </c>
      <c r="S8" s="12">
        <f t="shared" si="9"/>
        <v>1.8867924528301887</v>
      </c>
      <c r="T8" s="13">
        <f t="shared" si="10"/>
        <v>1.897594699697537</v>
      </c>
      <c r="U8" s="12">
        <f t="shared" si="13"/>
        <v>1.3869625520110958</v>
      </c>
      <c r="V8" s="12">
        <f t="shared" si="11"/>
        <v>1.3577732518669381</v>
      </c>
      <c r="W8" s="14">
        <f t="shared" si="12"/>
        <v>1.3723679019390169</v>
      </c>
      <c r="X8">
        <f>2/9*(2.5-B8)/N8*9.81*Лист2!M8^2/4/10</f>
        <v>0.12931094139307145</v>
      </c>
      <c r="Y8">
        <f>2/9*(2.5-B8)/Q8*9.81*Лист2!N8^2/40</f>
        <v>0.12300816346779246</v>
      </c>
      <c r="Z8" s="8">
        <f t="shared" si="14"/>
        <v>-2.0702078839681435</v>
      </c>
      <c r="AA8">
        <f>2/9*(7.8-B8)/T8*9.81*Лист2!M13^2/40</f>
        <v>0.11061571374903349</v>
      </c>
      <c r="AB8">
        <f>2/9*(7.8-B8)/W8*9.81*Лист2!N13^2/40</f>
        <v>0.12150713555703155</v>
      </c>
      <c r="AC8" s="8">
        <f t="shared" si="15"/>
        <v>-2.1536357051525656</v>
      </c>
      <c r="AD8">
        <f t="shared" si="16"/>
        <v>5.6253649737968781</v>
      </c>
      <c r="AE8">
        <f t="shared" si="17"/>
        <v>4.6175038750510232E-3</v>
      </c>
      <c r="AF8">
        <f t="shared" si="18"/>
        <v>1.0507911526354917E-4</v>
      </c>
      <c r="AG8">
        <f t="shared" si="19"/>
        <v>3.6876047019760247</v>
      </c>
      <c r="AH8">
        <f t="shared" si="20"/>
        <v>2.0722719374877945E-3</v>
      </c>
      <c r="AI8">
        <f t="shared" si="21"/>
        <v>2.8439194910972263E-5</v>
      </c>
    </row>
    <row r="9" spans="1:35" x14ac:dyDescent="0.15">
      <c r="A9" s="12">
        <f t="shared" si="0"/>
        <v>3.045994517209869</v>
      </c>
      <c r="B9" s="12">
        <f t="shared" si="1"/>
        <v>1.2452916666666667</v>
      </c>
      <c r="C9" s="8">
        <v>55.3</v>
      </c>
      <c r="D9">
        <v>2.91</v>
      </c>
      <c r="E9" s="8">
        <v>5.98</v>
      </c>
      <c r="F9">
        <v>3.07</v>
      </c>
      <c r="G9" s="11">
        <v>6.18</v>
      </c>
      <c r="H9">
        <v>4.1399999999999997</v>
      </c>
      <c r="I9" s="8">
        <v>8.34</v>
      </c>
      <c r="J9">
        <v>4.28</v>
      </c>
      <c r="K9" s="11">
        <v>8.77</v>
      </c>
      <c r="L9" s="12">
        <f t="shared" si="2"/>
        <v>3.4364261168384878</v>
      </c>
      <c r="M9" s="12">
        <f t="shared" si="3"/>
        <v>3.3444816053511701</v>
      </c>
      <c r="N9" s="13">
        <f t="shared" si="4"/>
        <v>3.3904538610948292</v>
      </c>
      <c r="O9" s="12">
        <f t="shared" si="5"/>
        <v>3.2573289902280131</v>
      </c>
      <c r="P9" s="12">
        <f t="shared" si="6"/>
        <v>3.2362459546925568</v>
      </c>
      <c r="Q9" s="14">
        <f t="shared" si="7"/>
        <v>3.246787472460285</v>
      </c>
      <c r="R9" s="12">
        <f t="shared" si="8"/>
        <v>2.4154589371980677</v>
      </c>
      <c r="S9" s="12">
        <f t="shared" si="9"/>
        <v>2.3980815347721824</v>
      </c>
      <c r="T9" s="13">
        <f t="shared" si="10"/>
        <v>2.4067702359851251</v>
      </c>
      <c r="U9" s="12">
        <f t="shared" si="13"/>
        <v>2.3364485981308412</v>
      </c>
      <c r="V9" s="12">
        <f t="shared" si="11"/>
        <v>2.2805017103762828</v>
      </c>
      <c r="W9" s="14">
        <f t="shared" si="12"/>
        <v>2.308475154253562</v>
      </c>
      <c r="X9">
        <f>2/9*(2.5-B9)/N9*9.81*Лист2!O8^2/4/10</f>
        <v>9.3230575672351157E-2</v>
      </c>
      <c r="Y9">
        <f>2/9*(2.5-B9)/Q9*9.81*Лист2!P8^2/40</f>
        <v>9.2880386207258511E-2</v>
      </c>
      <c r="Z9" s="8">
        <f t="shared" si="14"/>
        <v>-2.3745593944603596</v>
      </c>
      <c r="AA9">
        <f>2/9*(7.8-B9)/T9*9.81*Лист2!O13^2/40</f>
        <v>8.724256071877555E-2</v>
      </c>
      <c r="AB9">
        <f>2/9*(7.8-B9)/W9*9.81*Лист2!P13^2/40</f>
        <v>8.7045674705874918E-2</v>
      </c>
      <c r="AC9" s="8">
        <f t="shared" si="15"/>
        <v>-2.4401920054234454</v>
      </c>
      <c r="AD9">
        <f t="shared" si="16"/>
        <v>10.862330037034468</v>
      </c>
      <c r="AE9">
        <f t="shared" si="17"/>
        <v>6.2601602435331406E-3</v>
      </c>
      <c r="AF9">
        <f t="shared" si="18"/>
        <v>2.0325409854297328E-4</v>
      </c>
      <c r="AG9">
        <f t="shared" si="19"/>
        <v>8.2470422208784999</v>
      </c>
      <c r="AH9">
        <f t="shared" si="20"/>
        <v>2.7599204587427559E-3</v>
      </c>
      <c r="AI9">
        <f t="shared" si="21"/>
        <v>6.3712078067237451E-5</v>
      </c>
    </row>
    <row r="10" spans="1:35" x14ac:dyDescent="0.15">
      <c r="A10" s="12">
        <f t="shared" si="0"/>
        <v>2.9978715112270287</v>
      </c>
      <c r="B10" s="12">
        <f t="shared" si="1"/>
        <v>1.2430958333333333</v>
      </c>
      <c r="C10" s="8">
        <v>60.57</v>
      </c>
      <c r="D10">
        <v>2.2799999999999998</v>
      </c>
      <c r="E10" s="8">
        <v>4.83</v>
      </c>
      <c r="F10">
        <v>2.39</v>
      </c>
      <c r="G10" s="11">
        <v>4.83</v>
      </c>
      <c r="H10">
        <v>3.23</v>
      </c>
      <c r="I10" s="8">
        <v>6.37</v>
      </c>
      <c r="J10">
        <v>3.22</v>
      </c>
      <c r="K10" s="11">
        <v>6.45</v>
      </c>
      <c r="L10" s="12">
        <f t="shared" si="2"/>
        <v>4.3859649122807021</v>
      </c>
      <c r="M10" s="12">
        <f t="shared" si="3"/>
        <v>4.1407867494824018</v>
      </c>
      <c r="N10" s="13">
        <f t="shared" si="4"/>
        <v>4.2633758308815519</v>
      </c>
      <c r="O10" s="12">
        <f t="shared" si="5"/>
        <v>4.1841004184100417</v>
      </c>
      <c r="P10" s="12">
        <f t="shared" si="6"/>
        <v>4.1407867494824018</v>
      </c>
      <c r="Q10" s="14">
        <f t="shared" si="7"/>
        <v>4.1624435839462217</v>
      </c>
      <c r="R10" s="12">
        <f t="shared" si="8"/>
        <v>3.0959752321981426</v>
      </c>
      <c r="S10" s="12">
        <f t="shared" si="9"/>
        <v>3.1397174254317113</v>
      </c>
      <c r="T10" s="13">
        <f t="shared" si="10"/>
        <v>3.117846328814927</v>
      </c>
      <c r="U10" s="12">
        <f t="shared" si="13"/>
        <v>3.1055900621118009</v>
      </c>
      <c r="V10" s="12">
        <f t="shared" si="11"/>
        <v>3.1007751937984493</v>
      </c>
      <c r="W10" s="14">
        <f t="shared" si="12"/>
        <v>3.1031826279551251</v>
      </c>
      <c r="X10">
        <f>2/9*(2.5-B10)/N10*9.81*Лист2!Q8^2/4/10</f>
        <v>7.0857143240650164E-2</v>
      </c>
      <c r="Y10">
        <f>2/9*(2.5-B10)/Q10*9.81*Лист2!R8^2/40</f>
        <v>7.4313578812801401E-2</v>
      </c>
      <c r="Z10" s="8">
        <f t="shared" si="14"/>
        <v>-2.6229920162335465</v>
      </c>
      <c r="AA10">
        <f>2/9*(7.8-B10)/T10*9.81*Лист2!Q13^2/40</f>
        <v>6.7368021826120145E-2</v>
      </c>
      <c r="AB10">
        <f>2/9*(7.8-B10)/W10*9.81*Лист2!R13^2/40</f>
        <v>7.0661234119041225E-2</v>
      </c>
      <c r="AC10" s="8">
        <f t="shared" si="15"/>
        <v>-2.6734367972509996</v>
      </c>
      <c r="AD10">
        <f t="shared" si="16"/>
        <v>17.821487013694963</v>
      </c>
      <c r="AE10">
        <f t="shared" si="17"/>
        <v>8.0256158264161749E-3</v>
      </c>
      <c r="AF10">
        <f t="shared" si="18"/>
        <v>3.3406173103883263E-4</v>
      </c>
      <c r="AG10">
        <f t="shared" si="19"/>
        <v>13.973680320409736</v>
      </c>
      <c r="AH10">
        <f t="shared" si="20"/>
        <v>3.4849254483975147E-3</v>
      </c>
      <c r="AI10">
        <f t="shared" si="21"/>
        <v>1.0814360111185892E-4</v>
      </c>
    </row>
    <row r="11" spans="1:35" x14ac:dyDescent="0.15">
      <c r="L11" s="12"/>
      <c r="M11" s="12"/>
      <c r="N11" s="13"/>
      <c r="O11" s="12"/>
      <c r="P11" s="12"/>
      <c r="Q11" s="14"/>
      <c r="R11" s="12"/>
      <c r="S11" s="12"/>
      <c r="T11" s="13"/>
      <c r="U11" s="12"/>
      <c r="V11" s="12"/>
      <c r="W11" s="14"/>
      <c r="AC11" s="8"/>
    </row>
    <row r="12" spans="1:35" x14ac:dyDescent="0.15">
      <c r="L12" s="12"/>
      <c r="M12" s="12"/>
      <c r="N12" s="13"/>
      <c r="O12" s="12"/>
      <c r="P12" s="12"/>
      <c r="Q12" s="14"/>
      <c r="R12" s="12"/>
      <c r="S12" s="12"/>
      <c r="T12" s="13"/>
      <c r="U12" s="12"/>
      <c r="V12" s="12"/>
      <c r="W12" s="14"/>
      <c r="AC12" s="8"/>
    </row>
    <row r="13" spans="1:35" x14ac:dyDescent="0.15">
      <c r="L13" s="12"/>
      <c r="M13" s="12"/>
      <c r="N13" s="13"/>
      <c r="O13" s="12"/>
      <c r="P13" s="12"/>
      <c r="Q13" s="14"/>
      <c r="R13" s="12"/>
      <c r="S13" s="12"/>
      <c r="T13" s="13"/>
      <c r="U13" s="12"/>
      <c r="V13" s="12"/>
      <c r="W13" s="14"/>
      <c r="AC13" s="8"/>
    </row>
    <row r="14" spans="1:35" x14ac:dyDescent="0.15">
      <c r="L14" s="12"/>
      <c r="M14" s="12"/>
      <c r="N14" s="13"/>
      <c r="O14" s="12"/>
      <c r="P14" s="12"/>
      <c r="Q14" s="14"/>
      <c r="R14" s="12"/>
      <c r="S14" s="12"/>
      <c r="T14" s="13"/>
      <c r="U14" s="12"/>
      <c r="V14" s="12"/>
      <c r="W14" s="14"/>
      <c r="AC14" s="8"/>
    </row>
  </sheetData>
  <mergeCells count="6">
    <mergeCell ref="AA1:AC1"/>
    <mergeCell ref="D1:G1"/>
    <mergeCell ref="H1:K1"/>
    <mergeCell ref="L1:Q1"/>
    <mergeCell ref="R1:W1"/>
    <mergeCell ref="X1:Z1"/>
  </mergeCells>
  <pageMargins left="0.78749999999999998" right="0.78749999999999998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8"/>
  <sheetViews>
    <sheetView topLeftCell="P1" zoomScale="150" zoomScaleNormal="170" zoomScalePageLayoutView="60" workbookViewId="0">
      <selection activeCell="X2" sqref="X2"/>
    </sheetView>
  </sheetViews>
  <sheetFormatPr baseColWidth="10" defaultColWidth="8.83203125" defaultRowHeight="13" x14ac:dyDescent="0.15"/>
  <cols>
    <col min="1" max="1025" width="11.5"/>
  </cols>
  <sheetData>
    <row r="1" spans="1:23" x14ac:dyDescent="0.15">
      <c r="C1" s="8"/>
      <c r="D1" s="8" t="s">
        <v>36</v>
      </c>
      <c r="E1" t="s">
        <v>17</v>
      </c>
      <c r="F1" s="8"/>
      <c r="L1" s="8" t="s">
        <v>36</v>
      </c>
      <c r="M1" t="s">
        <v>19</v>
      </c>
    </row>
    <row r="2" spans="1:23" x14ac:dyDescent="0.15">
      <c r="A2" t="s">
        <v>39</v>
      </c>
      <c r="B2" t="s">
        <v>38</v>
      </c>
      <c r="C2" s="8" t="s">
        <v>27</v>
      </c>
      <c r="D2" s="8"/>
      <c r="E2" t="s">
        <v>28</v>
      </c>
      <c r="F2" s="8" t="s">
        <v>29</v>
      </c>
      <c r="G2" t="s">
        <v>40</v>
      </c>
      <c r="H2" t="s">
        <v>41</v>
      </c>
      <c r="I2" s="8" t="s">
        <v>42</v>
      </c>
      <c r="J2" t="s">
        <v>37</v>
      </c>
      <c r="K2" s="8" t="s">
        <v>35</v>
      </c>
      <c r="M2" t="s">
        <v>28</v>
      </c>
      <c r="N2" s="8" t="s">
        <v>29</v>
      </c>
      <c r="O2" t="s">
        <v>40</v>
      </c>
      <c r="P2" t="s">
        <v>41</v>
      </c>
      <c r="Q2" s="8" t="s">
        <v>42</v>
      </c>
      <c r="R2" t="s">
        <v>37</v>
      </c>
      <c r="S2" s="8" t="s">
        <v>35</v>
      </c>
      <c r="W2" t="s">
        <v>44</v>
      </c>
    </row>
    <row r="3" spans="1:23" x14ac:dyDescent="0.15">
      <c r="A3" s="12">
        <f>1000/(C3+273)</f>
        <v>3.3555920942250261</v>
      </c>
      <c r="B3" s="12">
        <f>1.26+(C3-20)*(-0.01)/(44-20)</f>
        <v>1.2579125</v>
      </c>
      <c r="C3">
        <v>25.01</v>
      </c>
      <c r="D3">
        <v>11</v>
      </c>
      <c r="E3">
        <v>21.78</v>
      </c>
      <c r="F3" s="8">
        <v>43.73</v>
      </c>
      <c r="G3" s="15">
        <v>0.45913682277318602</v>
      </c>
      <c r="H3" s="15">
        <v>0.45735193231191401</v>
      </c>
      <c r="I3" s="16">
        <v>0.45824437754254999</v>
      </c>
      <c r="J3">
        <v>6.0576141047075502</v>
      </c>
      <c r="K3" s="8">
        <f>LN((J3+J4)/2)</f>
        <v>1.8184061259467834</v>
      </c>
      <c r="L3">
        <f t="shared" ref="L3:L16" si="0">D3+5</f>
        <v>16</v>
      </c>
      <c r="M3">
        <v>30.4</v>
      </c>
      <c r="N3" s="8">
        <v>60.48</v>
      </c>
      <c r="O3" s="12">
        <v>0.32894736842105299</v>
      </c>
      <c r="P3" s="12">
        <v>0.33068783068783097</v>
      </c>
      <c r="Q3" s="13">
        <v>0.32981759955444201</v>
      </c>
      <c r="R3">
        <v>6.6333397125557996</v>
      </c>
      <c r="S3" s="8">
        <f>LN((R3+R4)/2)</f>
        <v>1.8916947772920263</v>
      </c>
      <c r="T3">
        <f t="shared" ref="T3:T18" si="1">O3*SQRT(0.01^2+(0.1/M3)^2)</f>
        <v>3.4628743834781224E-3</v>
      </c>
      <c r="U3">
        <f t="shared" ref="U3:U18" si="2">P3*SQRT(0.005^2+(0.1/N3)^2)</f>
        <v>1.7414996067418444E-3</v>
      </c>
      <c r="W3">
        <f>B3*1000*I3*0.01/J3</f>
        <v>0.95158146524640974</v>
      </c>
    </row>
    <row r="4" spans="1:23" x14ac:dyDescent="0.15">
      <c r="A4" s="12"/>
      <c r="B4" s="12"/>
      <c r="D4">
        <v>12</v>
      </c>
      <c r="E4">
        <v>22.05</v>
      </c>
      <c r="F4">
        <v>44.01</v>
      </c>
      <c r="G4" s="15">
        <v>0.45351473922902502</v>
      </c>
      <c r="H4" s="15">
        <v>0.45444217223358302</v>
      </c>
      <c r="I4" s="15">
        <v>0.45397845573130402</v>
      </c>
      <c r="J4">
        <v>6.2664441358479799</v>
      </c>
      <c r="K4" s="8"/>
      <c r="L4">
        <f t="shared" si="0"/>
        <v>17</v>
      </c>
      <c r="M4">
        <v>33.1</v>
      </c>
      <c r="N4">
        <v>65.989999999999995</v>
      </c>
      <c r="O4" s="12">
        <v>0.30211480362537801</v>
      </c>
      <c r="P4" s="12">
        <v>0.303076223670253</v>
      </c>
      <c r="Q4" s="12">
        <v>0.30259551364781501</v>
      </c>
      <c r="R4">
        <v>6.6278533843465297</v>
      </c>
      <c r="S4" s="8"/>
      <c r="T4">
        <f t="shared" si="1"/>
        <v>3.156012988312766E-3</v>
      </c>
      <c r="U4">
        <f t="shared" si="2"/>
        <v>1.5834501463197711E-3</v>
      </c>
    </row>
    <row r="5" spans="1:23" x14ac:dyDescent="0.15">
      <c r="A5" s="12">
        <f>1000/(C5+273)</f>
        <v>3.2986970146792021</v>
      </c>
      <c r="B5" s="12">
        <f>1.26+(C5-20)*(-0.01)/(44-20)</f>
        <v>1.2557708333333333</v>
      </c>
      <c r="C5" s="8">
        <v>30.15</v>
      </c>
      <c r="D5" s="8">
        <v>13</v>
      </c>
      <c r="E5">
        <v>15.73</v>
      </c>
      <c r="F5" s="8">
        <v>30.4</v>
      </c>
      <c r="G5" s="15">
        <v>0.63572790845518101</v>
      </c>
      <c r="H5" s="15">
        <v>0.65789473684210498</v>
      </c>
      <c r="I5" s="16">
        <v>0.64681132264864305</v>
      </c>
      <c r="J5">
        <v>4.7340968115840498</v>
      </c>
      <c r="K5" s="8">
        <f>LN((J5+J6)/2)</f>
        <v>1.5115049853766362</v>
      </c>
      <c r="L5">
        <f t="shared" si="0"/>
        <v>18</v>
      </c>
      <c r="M5">
        <v>23.95</v>
      </c>
      <c r="N5" s="8">
        <v>47.55</v>
      </c>
      <c r="O5" s="12">
        <v>0.41753653444676397</v>
      </c>
      <c r="P5" s="12">
        <v>0.42060988433228202</v>
      </c>
      <c r="Q5" s="13">
        <v>0.41907320938952303</v>
      </c>
      <c r="R5">
        <v>4.5768634503901202</v>
      </c>
      <c r="S5" s="8">
        <f>LN((R5+R6)/2)</f>
        <v>1.5637372205578237</v>
      </c>
      <c r="T5">
        <f t="shared" si="1"/>
        <v>4.5247106277366798E-3</v>
      </c>
      <c r="U5">
        <f t="shared" si="2"/>
        <v>2.2815059133289798E-3</v>
      </c>
    </row>
    <row r="6" spans="1:23" x14ac:dyDescent="0.15">
      <c r="A6" s="12"/>
      <c r="B6" s="12"/>
      <c r="C6" s="8"/>
      <c r="D6" s="8">
        <v>14</v>
      </c>
      <c r="E6">
        <v>15.17</v>
      </c>
      <c r="F6">
        <v>30.48</v>
      </c>
      <c r="G6" s="15">
        <v>0.65919578114700095</v>
      </c>
      <c r="H6" s="15">
        <v>0.65616797900262502</v>
      </c>
      <c r="I6" s="15">
        <v>0.65768188007481299</v>
      </c>
      <c r="J6">
        <v>4.3330003624479003</v>
      </c>
      <c r="K6" s="8"/>
      <c r="L6">
        <f t="shared" si="0"/>
        <v>19</v>
      </c>
      <c r="M6">
        <v>24.82</v>
      </c>
      <c r="N6">
        <v>49.58</v>
      </c>
      <c r="O6" s="12">
        <v>0.40290088638194999</v>
      </c>
      <c r="P6" s="12">
        <v>0.40338846308995602</v>
      </c>
      <c r="Q6" s="12">
        <v>0.403144674735953</v>
      </c>
      <c r="R6">
        <v>4.9764151175263702</v>
      </c>
      <c r="S6" s="8"/>
      <c r="T6">
        <f t="shared" si="1"/>
        <v>4.3437296051466665E-3</v>
      </c>
      <c r="U6">
        <f t="shared" si="2"/>
        <v>2.1748608202605273E-3</v>
      </c>
    </row>
    <row r="7" spans="1:23" x14ac:dyDescent="0.15">
      <c r="A7" s="12">
        <f>1000/(C7+273)</f>
        <v>3.2472804026627702</v>
      </c>
      <c r="B7" s="12">
        <f>1.26+(C7-20)*(-0.01)/(44-20)</f>
        <v>1.2537708333333333</v>
      </c>
      <c r="C7" s="8">
        <v>34.950000000000003</v>
      </c>
      <c r="D7" s="8">
        <v>21</v>
      </c>
      <c r="E7">
        <v>9.82</v>
      </c>
      <c r="F7" s="8">
        <v>19.87</v>
      </c>
      <c r="G7" s="15">
        <v>1.0183299389002001</v>
      </c>
      <c r="H7" s="15">
        <v>1.00654252642174</v>
      </c>
      <c r="I7" s="16">
        <v>1.0124362326609699</v>
      </c>
      <c r="J7">
        <v>2.9584574257606699</v>
      </c>
      <c r="K7" s="8">
        <f>LN((J7+J8)/2)</f>
        <v>1.1279898098201282</v>
      </c>
      <c r="L7">
        <f t="shared" si="0"/>
        <v>26</v>
      </c>
      <c r="M7">
        <v>12.38</v>
      </c>
      <c r="N7" s="8">
        <v>24.22</v>
      </c>
      <c r="O7" s="12">
        <v>0.80775444264943497</v>
      </c>
      <c r="P7" s="12">
        <v>0.82576383154417798</v>
      </c>
      <c r="Q7" s="13">
        <v>0.81675913709680703</v>
      </c>
      <c r="R7">
        <v>2.56747881035762</v>
      </c>
      <c r="S7" s="8">
        <f>LN((R7+R8)/2)</f>
        <v>1.0292591054815541</v>
      </c>
      <c r="T7">
        <f t="shared" si="1"/>
        <v>1.0383548229758024E-2</v>
      </c>
      <c r="U7">
        <f t="shared" si="2"/>
        <v>5.3545641596391752E-3</v>
      </c>
    </row>
    <row r="8" spans="1:23" x14ac:dyDescent="0.15">
      <c r="A8" s="12"/>
      <c r="B8" s="12"/>
      <c r="C8" s="8"/>
      <c r="D8" s="8">
        <v>22</v>
      </c>
      <c r="E8">
        <v>10.26</v>
      </c>
      <c r="F8">
        <v>20.51</v>
      </c>
      <c r="G8" s="15">
        <v>0.974658869395712</v>
      </c>
      <c r="H8" s="15">
        <v>0.97513408093612897</v>
      </c>
      <c r="I8" s="15">
        <v>0.97489647516592004</v>
      </c>
      <c r="J8">
        <v>3.2204223586460801</v>
      </c>
      <c r="K8" s="8"/>
      <c r="L8">
        <f t="shared" si="0"/>
        <v>27</v>
      </c>
      <c r="M8">
        <v>21.29</v>
      </c>
      <c r="N8">
        <v>42.13</v>
      </c>
      <c r="O8" s="12">
        <v>0.469704086425552</v>
      </c>
      <c r="P8" s="12">
        <v>0.47472110135295498</v>
      </c>
      <c r="Q8" s="12">
        <v>0.47221259388925302</v>
      </c>
      <c r="R8">
        <v>3.0305038075896</v>
      </c>
      <c r="S8" s="8"/>
      <c r="T8">
        <f t="shared" si="1"/>
        <v>5.1893734137604727E-3</v>
      </c>
      <c r="U8">
        <f t="shared" si="2"/>
        <v>2.6274860113352713E-3</v>
      </c>
    </row>
    <row r="9" spans="1:23" x14ac:dyDescent="0.15">
      <c r="A9" s="12">
        <f>1000/(C9+273)</f>
        <v>3.1958071010833788</v>
      </c>
      <c r="B9" s="12">
        <f>1.26+(C9-20)*(-0.01)/(44-20)</f>
        <v>1.2517041666666666</v>
      </c>
      <c r="C9" s="8">
        <v>39.909999999999997</v>
      </c>
      <c r="D9" s="8">
        <v>23</v>
      </c>
      <c r="E9">
        <v>7.64</v>
      </c>
      <c r="F9" s="8">
        <v>15.12</v>
      </c>
      <c r="G9" s="15">
        <v>1.30890052356021</v>
      </c>
      <c r="H9" s="15">
        <v>1.3227513227513199</v>
      </c>
      <c r="I9" s="16">
        <v>1.3158259231557701</v>
      </c>
      <c r="J9">
        <v>2.2801014692198298</v>
      </c>
      <c r="K9" s="8">
        <f>LN((J9+J10)/2)</f>
        <v>0.83829040459748128</v>
      </c>
      <c r="L9">
        <f t="shared" si="0"/>
        <v>28</v>
      </c>
      <c r="M9">
        <v>10.76</v>
      </c>
      <c r="N9" s="8">
        <v>21.49</v>
      </c>
      <c r="O9" s="12">
        <v>0.92936802973977695</v>
      </c>
      <c r="P9" s="12">
        <v>0.93066542577943201</v>
      </c>
      <c r="Q9" s="13">
        <v>0.93001672775960498</v>
      </c>
      <c r="R9">
        <v>2.2555226683062002</v>
      </c>
      <c r="S9" s="8">
        <f>LN((R9+R10)/2)</f>
        <v>0.52312669143641022</v>
      </c>
      <c r="T9">
        <f t="shared" si="1"/>
        <v>1.2687575408757387E-2</v>
      </c>
      <c r="U9">
        <f t="shared" si="2"/>
        <v>6.3567550747102826E-3</v>
      </c>
    </row>
    <row r="10" spans="1:23" x14ac:dyDescent="0.15">
      <c r="A10" s="12"/>
      <c r="B10" s="12"/>
      <c r="C10" s="8"/>
      <c r="D10" s="8">
        <v>24</v>
      </c>
      <c r="E10">
        <v>7.6</v>
      </c>
      <c r="F10">
        <v>15.33</v>
      </c>
      <c r="G10" s="15">
        <v>1.31578947368421</v>
      </c>
      <c r="H10" s="15">
        <v>1.30463144161774</v>
      </c>
      <c r="I10" s="15">
        <v>1.3102104576509801</v>
      </c>
      <c r="J10">
        <v>2.3447191499017102</v>
      </c>
      <c r="K10" s="8"/>
      <c r="L10">
        <f t="shared" si="0"/>
        <v>29</v>
      </c>
      <c r="M10">
        <v>7.83</v>
      </c>
      <c r="N10">
        <v>15.61</v>
      </c>
      <c r="O10" s="12">
        <v>1.2771392081736901</v>
      </c>
      <c r="P10" s="12">
        <v>1.2812299807815499</v>
      </c>
      <c r="Q10" s="12">
        <v>1.2791845944776199</v>
      </c>
      <c r="R10">
        <v>1.11906745497708</v>
      </c>
      <c r="S10" s="8"/>
      <c r="T10">
        <f t="shared" si="1"/>
        <v>2.071598752006832E-2</v>
      </c>
      <c r="U10">
        <f t="shared" si="2"/>
        <v>1.041181724262669E-2</v>
      </c>
    </row>
    <row r="11" spans="1:23" x14ac:dyDescent="0.15">
      <c r="A11" s="12">
        <f>1000/(C11+273)</f>
        <v>3.1456432840515887</v>
      </c>
      <c r="B11" s="12">
        <f>1.26+(C11-20)*(-0.01)/(44-20)</f>
        <v>1.249625</v>
      </c>
      <c r="C11" s="8">
        <v>44.9</v>
      </c>
      <c r="D11" s="8">
        <v>31</v>
      </c>
      <c r="E11">
        <v>5.5</v>
      </c>
      <c r="F11" s="8">
        <v>10.98</v>
      </c>
      <c r="G11" s="15">
        <v>1.8181818181818199</v>
      </c>
      <c r="H11" s="15">
        <v>1.8214936247723099</v>
      </c>
      <c r="I11" s="16">
        <v>1.81983772147707</v>
      </c>
      <c r="J11">
        <v>1.49783547611465</v>
      </c>
      <c r="K11" s="8">
        <f>LN((J11+J12)/2)</f>
        <v>0.42749724904957437</v>
      </c>
      <c r="L11">
        <f t="shared" si="0"/>
        <v>36</v>
      </c>
      <c r="M11">
        <v>6.55</v>
      </c>
      <c r="N11" s="8">
        <v>12.47</v>
      </c>
      <c r="O11" s="12">
        <v>1.5267175572519101</v>
      </c>
      <c r="P11" s="12">
        <v>1.6038492381716101</v>
      </c>
      <c r="Q11" s="13">
        <v>1.5652833977117599</v>
      </c>
      <c r="R11">
        <v>1.64781153349489</v>
      </c>
      <c r="S11" s="8">
        <f>LN((R11+R12)/2)</f>
        <v>0.48520153667431704</v>
      </c>
      <c r="T11">
        <f t="shared" si="1"/>
        <v>2.7863605543213172E-2</v>
      </c>
      <c r="U11">
        <f t="shared" si="2"/>
        <v>1.51568682828301E-2</v>
      </c>
    </row>
    <row r="12" spans="1:23" x14ac:dyDescent="0.15">
      <c r="A12" s="12"/>
      <c r="B12" s="12"/>
      <c r="C12" s="8"/>
      <c r="D12" s="8">
        <v>32</v>
      </c>
      <c r="E12">
        <v>5.36</v>
      </c>
      <c r="F12">
        <v>10.67</v>
      </c>
      <c r="G12" s="15">
        <v>1.8656716417910399</v>
      </c>
      <c r="H12" s="15">
        <v>1.87441424554827</v>
      </c>
      <c r="I12" s="15">
        <v>1.87004294366966</v>
      </c>
      <c r="J12">
        <v>1.56899444651346</v>
      </c>
      <c r="K12" s="8"/>
      <c r="L12">
        <f t="shared" si="0"/>
        <v>37</v>
      </c>
      <c r="M12">
        <v>8.48</v>
      </c>
      <c r="N12">
        <v>16.41</v>
      </c>
      <c r="O12" s="12">
        <v>1.17924528301887</v>
      </c>
      <c r="P12" s="12">
        <v>1.2187690432663001</v>
      </c>
      <c r="Q12" s="12">
        <v>1.19900716314258</v>
      </c>
      <c r="R12">
        <v>1.60119321182675</v>
      </c>
      <c r="S12" s="8"/>
      <c r="T12">
        <f t="shared" si="1"/>
        <v>1.8233052014232178E-2</v>
      </c>
      <c r="U12">
        <f t="shared" si="2"/>
        <v>9.6070353677149296E-3</v>
      </c>
    </row>
    <row r="13" spans="1:23" x14ac:dyDescent="0.15">
      <c r="A13" s="12">
        <f>1000/(C13+273)</f>
        <v>3.0947296753628573</v>
      </c>
      <c r="B13" s="12">
        <f>1.26+(C13-20)*(-0.01)/(44-20)</f>
        <v>1.2474458333333334</v>
      </c>
      <c r="C13" s="8">
        <v>50.13</v>
      </c>
      <c r="D13" s="8">
        <v>33</v>
      </c>
      <c r="E13">
        <v>4.5</v>
      </c>
      <c r="F13" s="8">
        <v>9.0299999999999994</v>
      </c>
      <c r="G13" s="15">
        <v>2.2222222222222201</v>
      </c>
      <c r="H13" s="15">
        <v>2.2148394241417502</v>
      </c>
      <c r="I13" s="16">
        <v>2.21853082318199</v>
      </c>
      <c r="J13">
        <v>1.29310941393072</v>
      </c>
      <c r="K13" s="8">
        <f>LN((J13+J14)/2)</f>
        <v>0.23237720902590686</v>
      </c>
      <c r="L13">
        <f t="shared" si="0"/>
        <v>38</v>
      </c>
      <c r="M13">
        <v>5.24</v>
      </c>
      <c r="N13" s="8">
        <v>10.6</v>
      </c>
      <c r="O13" s="12">
        <v>1.90839694656489</v>
      </c>
      <c r="P13" s="12">
        <v>1.88679245283019</v>
      </c>
      <c r="Q13" s="13">
        <v>1.8975946996975399</v>
      </c>
      <c r="R13">
        <v>1.1061571374903401</v>
      </c>
      <c r="S13" s="8">
        <f>LN((R13+R14)/2)</f>
        <v>0.14894938784148426</v>
      </c>
      <c r="T13">
        <f t="shared" si="1"/>
        <v>4.1116893431918475E-2</v>
      </c>
      <c r="U13">
        <f t="shared" si="2"/>
        <v>2.0145399209165176E-2</v>
      </c>
    </row>
    <row r="14" spans="1:23" x14ac:dyDescent="0.15">
      <c r="A14" s="12"/>
      <c r="B14" s="12"/>
      <c r="C14" s="8"/>
      <c r="D14" s="8">
        <v>34</v>
      </c>
      <c r="E14">
        <v>4.34</v>
      </c>
      <c r="F14">
        <v>8.9</v>
      </c>
      <c r="G14" s="15">
        <v>2.30414746543779</v>
      </c>
      <c r="H14" s="15">
        <v>2.2471910112359499</v>
      </c>
      <c r="I14" s="15">
        <v>2.27566923833687</v>
      </c>
      <c r="J14">
        <v>1.23008163467793</v>
      </c>
      <c r="K14" s="8"/>
      <c r="L14">
        <f t="shared" si="0"/>
        <v>39</v>
      </c>
      <c r="M14">
        <v>7.21</v>
      </c>
      <c r="N14">
        <v>14.73</v>
      </c>
      <c r="O14" s="12">
        <v>1.3869625520111</v>
      </c>
      <c r="P14" s="12">
        <v>1.3577732518669401</v>
      </c>
      <c r="Q14" s="12">
        <v>1.37236790193902</v>
      </c>
      <c r="R14">
        <v>1.2150713555703201</v>
      </c>
      <c r="S14" s="8"/>
      <c r="T14">
        <f t="shared" si="1"/>
        <v>2.3715295944192472E-2</v>
      </c>
      <c r="U14">
        <f t="shared" si="2"/>
        <v>1.1447945429267303E-2</v>
      </c>
    </row>
    <row r="15" spans="1:23" x14ac:dyDescent="0.15">
      <c r="A15" s="12">
        <f>1000/(C15+273)</f>
        <v>3.045994517209869</v>
      </c>
      <c r="B15" s="12">
        <f>1.26+(C15-20)*(-0.01)/(44-20)</f>
        <v>1.2452916666666667</v>
      </c>
      <c r="C15" s="8">
        <v>55.3</v>
      </c>
      <c r="D15" s="8">
        <v>41</v>
      </c>
      <c r="E15">
        <v>2.91</v>
      </c>
      <c r="F15" s="8">
        <v>5.98</v>
      </c>
      <c r="G15" s="15">
        <v>3.43642611683849</v>
      </c>
      <c r="H15" s="15">
        <v>3.3444816053511701</v>
      </c>
      <c r="I15" s="16">
        <v>3.39045386109483</v>
      </c>
      <c r="J15">
        <v>0.93230575672351201</v>
      </c>
      <c r="K15" s="8">
        <f>LN((J15+J16)/2)</f>
        <v>-7.1974301466313867E-2</v>
      </c>
      <c r="L15">
        <f t="shared" si="0"/>
        <v>46</v>
      </c>
      <c r="M15">
        <v>4.1399999999999997</v>
      </c>
      <c r="N15" s="8">
        <v>8.34</v>
      </c>
      <c r="O15" s="12">
        <v>2.4154589371980699</v>
      </c>
      <c r="P15" s="12">
        <v>2.3980815347721798</v>
      </c>
      <c r="Q15" s="13">
        <v>2.4067702359851202</v>
      </c>
      <c r="R15">
        <v>0.87242560718775497</v>
      </c>
      <c r="S15" s="8">
        <f>LN((R15+R16)/2)</f>
        <v>-0.13760691242939954</v>
      </c>
      <c r="T15">
        <f t="shared" si="1"/>
        <v>6.3146776558083761E-2</v>
      </c>
      <c r="U15">
        <f t="shared" si="2"/>
        <v>3.115382750353142E-2</v>
      </c>
    </row>
    <row r="16" spans="1:23" x14ac:dyDescent="0.15">
      <c r="A16" s="12"/>
      <c r="B16" s="12"/>
      <c r="C16" s="8"/>
      <c r="D16" s="8">
        <v>42</v>
      </c>
      <c r="E16">
        <v>3.07</v>
      </c>
      <c r="F16">
        <v>6.18</v>
      </c>
      <c r="G16" s="15">
        <v>3.25732899022801</v>
      </c>
      <c r="H16" s="15">
        <v>3.2362459546925599</v>
      </c>
      <c r="I16" s="15">
        <v>3.2467874724602801</v>
      </c>
      <c r="J16">
        <v>0.92880386207258503</v>
      </c>
      <c r="K16" s="8"/>
      <c r="L16">
        <f t="shared" si="0"/>
        <v>47</v>
      </c>
      <c r="M16">
        <v>4.28</v>
      </c>
      <c r="N16">
        <v>8.77</v>
      </c>
      <c r="O16" s="12">
        <v>2.3364485981308398</v>
      </c>
      <c r="P16" s="12">
        <v>2.2805017103762801</v>
      </c>
      <c r="Q16" s="12">
        <v>2.3084751542535602</v>
      </c>
      <c r="R16">
        <v>0.87045674705874998</v>
      </c>
      <c r="S16" s="8"/>
      <c r="T16">
        <f t="shared" si="1"/>
        <v>5.937978298403758E-2</v>
      </c>
      <c r="U16">
        <f t="shared" si="2"/>
        <v>2.8393592699386631E-2</v>
      </c>
    </row>
    <row r="17" spans="1:21" x14ac:dyDescent="0.15">
      <c r="A17" s="12">
        <f>1000/(C17+273)</f>
        <v>2.9978715112270287</v>
      </c>
      <c r="B17" s="12">
        <f>1.26+(C17-20)*(-0.01)/(44-20)</f>
        <v>1.2430958333333333</v>
      </c>
      <c r="C17" s="8">
        <v>60.57</v>
      </c>
      <c r="D17" s="8">
        <v>45</v>
      </c>
      <c r="E17">
        <v>2.2799999999999998</v>
      </c>
      <c r="F17" s="8">
        <v>4.83</v>
      </c>
      <c r="G17" s="15">
        <v>4.3859649122807003</v>
      </c>
      <c r="H17" s="15">
        <v>4.1407867494824</v>
      </c>
      <c r="I17" s="16">
        <v>4.2633758308815501</v>
      </c>
      <c r="J17">
        <v>0.708571432406503</v>
      </c>
      <c r="K17" s="8">
        <f>LN((J17+J18)/2)</f>
        <v>-0.32040692323949888</v>
      </c>
      <c r="L17">
        <v>48</v>
      </c>
      <c r="M17">
        <v>3.23</v>
      </c>
      <c r="N17" s="8">
        <v>6.37</v>
      </c>
      <c r="O17" s="12">
        <v>3.09597523219814</v>
      </c>
      <c r="P17" s="12">
        <v>3.13971742543171</v>
      </c>
      <c r="Q17" s="13">
        <v>3.1178463288149301</v>
      </c>
      <c r="R17">
        <v>0.67368021826120195</v>
      </c>
      <c r="S17" s="8">
        <f>LN((R17+R18)/2)</f>
        <v>-0.37085170425695341</v>
      </c>
      <c r="T17">
        <f t="shared" si="1"/>
        <v>0.10072660444000661</v>
      </c>
      <c r="U17">
        <f t="shared" si="2"/>
        <v>5.1728751514006563E-2</v>
      </c>
    </row>
    <row r="18" spans="1:21" x14ac:dyDescent="0.15">
      <c r="D18">
        <v>50</v>
      </c>
      <c r="E18">
        <v>2.39</v>
      </c>
      <c r="F18">
        <v>4.83</v>
      </c>
      <c r="G18" s="15">
        <v>4.1841004184100399</v>
      </c>
      <c r="H18" s="15">
        <v>4.1407867494824</v>
      </c>
      <c r="I18" s="15">
        <v>4.1624435839462199</v>
      </c>
      <c r="J18">
        <v>0.74313578812801495</v>
      </c>
      <c r="L18">
        <v>49</v>
      </c>
      <c r="M18">
        <v>3.22</v>
      </c>
      <c r="N18" s="11">
        <v>6.45</v>
      </c>
      <c r="O18" s="12">
        <v>3.1055900621118</v>
      </c>
      <c r="P18" s="12">
        <v>3.1007751937984498</v>
      </c>
      <c r="Q18" s="12">
        <v>3.10318262795513</v>
      </c>
      <c r="R18">
        <v>0.70661234119041205</v>
      </c>
      <c r="T18">
        <f t="shared" si="1"/>
        <v>0.10132360424299268</v>
      </c>
      <c r="U18">
        <f t="shared" si="2"/>
        <v>5.0512205616912768E-2</v>
      </c>
    </row>
    <row r="35" spans="10:10" x14ac:dyDescent="0.15">
      <c r="J35">
        <f>J19/4</f>
        <v>0</v>
      </c>
    </row>
    <row r="36" spans="10:10" x14ac:dyDescent="0.15">
      <c r="J36">
        <f>J20/4</f>
        <v>0</v>
      </c>
    </row>
    <row r="37" spans="10:10" x14ac:dyDescent="0.15">
      <c r="J37">
        <f>J21/4</f>
        <v>0</v>
      </c>
    </row>
    <row r="38" spans="10:10" x14ac:dyDescent="0.15">
      <c r="J38">
        <f>J22/4</f>
        <v>0</v>
      </c>
    </row>
  </sheetData>
  <pageMargins left="0.78749999999999998" right="0.78749999999999998" top="0.78749999999999998" bottom="0.78749999999999998" header="0.51180555555555496" footer="0.51180555555555496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1529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Anastasiia Plotnikova</cp:lastModifiedBy>
  <cp:revision>100</cp:revision>
  <dcterms:created xsi:type="dcterms:W3CDTF">2025-03-25T13:54:27Z</dcterms:created>
  <dcterms:modified xsi:type="dcterms:W3CDTF">2025-04-01T22:20:18Z</dcterms:modified>
  <dc:language>en-US</dc:language>
</cp:coreProperties>
</file>